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 activeTab="1"/>
  </bookViews>
  <sheets>
    <sheet name="Лист3" sheetId="3" r:id="rId1"/>
    <sheet name="прайс с 1 АПРЕЛЯ " sheetId="5" r:id="rId2"/>
  </sheets>
  <calcPr calcId="125725"/>
</workbook>
</file>

<file path=xl/calcChain.xml><?xml version="1.0" encoding="utf-8"?>
<calcChain xmlns="http://schemas.openxmlformats.org/spreadsheetml/2006/main">
  <c r="M11" i="3"/>
  <c r="M39" s="1"/>
  <c r="M2"/>
  <c r="M12"/>
  <c r="G145" i="5"/>
  <c r="G144"/>
  <c r="G178"/>
  <c r="M16" i="3"/>
  <c r="F184" i="5"/>
  <c r="G184" s="1"/>
  <c r="F183"/>
  <c r="G183" s="1"/>
  <c r="F182"/>
  <c r="G182" s="1"/>
  <c r="M44" i="3"/>
  <c r="F130" i="5" s="1"/>
  <c r="G130" s="1"/>
  <c r="M8" i="3"/>
  <c r="F127" i="5" s="1"/>
  <c r="G127" s="1"/>
  <c r="F121"/>
  <c r="G121" s="1"/>
  <c r="M49" i="3"/>
  <c r="F135" i="5" s="1"/>
  <c r="G135" s="1"/>
  <c r="M46" i="3"/>
  <c r="F172" i="5"/>
  <c r="F171"/>
  <c r="F170"/>
  <c r="F169"/>
  <c r="F162"/>
  <c r="G162" s="1"/>
  <c r="F161"/>
  <c r="G161" s="1"/>
  <c r="F160"/>
  <c r="G160" s="1"/>
  <c r="F159"/>
  <c r="G159" s="1"/>
  <c r="F158"/>
  <c r="G158" s="1"/>
  <c r="F157"/>
  <c r="F156"/>
  <c r="F155"/>
  <c r="F154"/>
  <c r="F153"/>
  <c r="F152"/>
  <c r="F151"/>
  <c r="F150"/>
  <c r="F149"/>
  <c r="F148"/>
  <c r="F132"/>
  <c r="G132" s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165"/>
  <c r="M25" i="3" l="1"/>
  <c r="F137" i="5"/>
  <c r="G137" s="1"/>
  <c r="M30" i="3"/>
  <c r="G157" i="5"/>
  <c r="G156"/>
  <c r="G155"/>
  <c r="G154"/>
  <c r="G153"/>
  <c r="G152"/>
  <c r="G151"/>
  <c r="G150"/>
  <c r="G149"/>
  <c r="G148"/>
  <c r="G192" l="1"/>
  <c r="G191"/>
  <c r="G190"/>
  <c r="G189"/>
  <c r="F117"/>
  <c r="G117" s="1"/>
  <c r="F116"/>
  <c r="G116" s="1"/>
  <c r="F115"/>
  <c r="G115" s="1"/>
  <c r="F114"/>
  <c r="G114" s="1"/>
  <c r="F113"/>
  <c r="G113" s="1"/>
  <c r="F112"/>
  <c r="G112" s="1"/>
  <c r="F111"/>
  <c r="G111" s="1"/>
  <c r="F110"/>
  <c r="G110" s="1"/>
  <c r="F109"/>
  <c r="G109" s="1"/>
  <c r="F108"/>
  <c r="G108" s="1"/>
  <c r="F107"/>
  <c r="G107" s="1"/>
  <c r="F106"/>
  <c r="G106" s="1"/>
  <c r="F105"/>
  <c r="G105" s="1"/>
  <c r="F104"/>
  <c r="G104" s="1"/>
  <c r="F103"/>
  <c r="G103" s="1"/>
  <c r="F102"/>
  <c r="G102" s="1"/>
  <c r="F101"/>
  <c r="G101" s="1"/>
  <c r="F100"/>
  <c r="G100" s="1"/>
  <c r="F99"/>
  <c r="G99" s="1"/>
  <c r="F98"/>
  <c r="G98" s="1"/>
  <c r="F97"/>
  <c r="G97" s="1"/>
  <c r="F96"/>
  <c r="G96" s="1"/>
  <c r="F95"/>
  <c r="G95" s="1"/>
  <c r="F94"/>
  <c r="G94" s="1"/>
  <c r="F93"/>
  <c r="G93" s="1"/>
  <c r="F92"/>
  <c r="G92" s="1"/>
  <c r="F91"/>
  <c r="G91" s="1"/>
  <c r="F90"/>
  <c r="G90" s="1"/>
  <c r="F89"/>
  <c r="G89" s="1"/>
  <c r="F88"/>
  <c r="G88" s="1"/>
  <c r="F87"/>
  <c r="G87" s="1"/>
  <c r="F86"/>
  <c r="G86" s="1"/>
  <c r="F85"/>
  <c r="G85" s="1"/>
  <c r="F84"/>
  <c r="G84" s="1"/>
  <c r="G83"/>
  <c r="G82"/>
  <c r="G81"/>
  <c r="G80"/>
  <c r="G79"/>
  <c r="G78"/>
  <c r="G77"/>
  <c r="G76"/>
  <c r="G75"/>
  <c r="G74"/>
  <c r="F73"/>
  <c r="G73" s="1"/>
  <c r="F72"/>
  <c r="G72" s="1"/>
  <c r="F71"/>
  <c r="G71" s="1"/>
  <c r="F70"/>
  <c r="G70" s="1"/>
  <c r="F69"/>
  <c r="G69" s="1"/>
  <c r="F68"/>
  <c r="G68" s="1"/>
  <c r="F67"/>
  <c r="G67" s="1"/>
  <c r="F66"/>
  <c r="G66" s="1"/>
  <c r="F65"/>
  <c r="G65" s="1"/>
  <c r="F64"/>
  <c r="G64" s="1"/>
  <c r="F63"/>
  <c r="G63" s="1"/>
  <c r="F62"/>
  <c r="G62" s="1"/>
  <c r="F61"/>
  <c r="G61" s="1"/>
  <c r="F60"/>
  <c r="G60" s="1"/>
  <c r="F59"/>
  <c r="G59" s="1"/>
  <c r="F58"/>
  <c r="G58" s="1"/>
  <c r="F57"/>
  <c r="G57" s="1"/>
  <c r="F56"/>
  <c r="G56" s="1"/>
  <c r="F55"/>
  <c r="G55" s="1"/>
  <c r="F54"/>
  <c r="G54" s="1"/>
  <c r="F53"/>
  <c r="G53" s="1"/>
  <c r="F52"/>
  <c r="G52" s="1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186"/>
  <c r="G172"/>
  <c r="G171"/>
  <c r="G170"/>
  <c r="G169"/>
  <c r="G174"/>
  <c r="G167"/>
  <c r="G166"/>
  <c r="G164"/>
  <c r="G179"/>
  <c r="G177"/>
  <c r="G176"/>
  <c r="G143"/>
  <c r="G142"/>
  <c r="M13" i="3"/>
  <c r="F139" i="5" s="1"/>
  <c r="G139" s="1"/>
  <c r="F138"/>
  <c r="G138" s="1"/>
  <c r="N44" i="3"/>
  <c r="M48"/>
  <c r="F134" i="5" s="1"/>
  <c r="G134" s="1"/>
  <c r="M47" i="3"/>
  <c r="F133" i="5" s="1"/>
  <c r="G133" s="1"/>
  <c r="N46" i="3"/>
  <c r="M45"/>
  <c r="F49"/>
  <c r="F48"/>
  <c r="F46"/>
  <c r="F45"/>
  <c r="F44"/>
  <c r="F43"/>
  <c r="F42"/>
  <c r="F41"/>
  <c r="F39"/>
  <c r="F38"/>
  <c r="F37"/>
  <c r="F36"/>
  <c r="F35"/>
  <c r="F34"/>
  <c r="N45" l="1"/>
  <c r="F131" i="5"/>
  <c r="G131" s="1"/>
  <c r="N48" i="3"/>
  <c r="N47"/>
  <c r="N49"/>
  <c r="M10"/>
  <c r="F129" i="5" s="1"/>
  <c r="G129" s="1"/>
  <c r="M9" i="3"/>
  <c r="F128" i="5" s="1"/>
  <c r="G128" s="1"/>
  <c r="M7" i="3"/>
  <c r="F126" i="5" s="1"/>
  <c r="G126" s="1"/>
  <c r="M6" i="3"/>
  <c r="F125" i="5" s="1"/>
  <c r="G125" s="1"/>
  <c r="M5" i="3"/>
  <c r="F124" i="5" s="1"/>
  <c r="G124" s="1"/>
  <c r="M4" i="3"/>
  <c r="F123" i="5" s="1"/>
  <c r="G123" s="1"/>
  <c r="M3" i="3"/>
  <c r="F32"/>
  <c r="F31"/>
  <c r="F30"/>
  <c r="F29"/>
  <c r="F27"/>
  <c r="F26"/>
  <c r="F25"/>
  <c r="F24"/>
  <c r="F22"/>
  <c r="F21"/>
  <c r="F20"/>
  <c r="F18"/>
  <c r="F17"/>
  <c r="F16"/>
  <c r="F14"/>
  <c r="F13"/>
  <c r="F12"/>
  <c r="F11"/>
  <c r="F10"/>
  <c r="F9"/>
  <c r="F7"/>
  <c r="F6"/>
  <c r="F5"/>
  <c r="F4"/>
  <c r="F3"/>
  <c r="F2"/>
  <c r="M17" l="1"/>
  <c r="N17" s="1"/>
  <c r="F122" i="5"/>
  <c r="G122" s="1"/>
  <c r="N4" i="3"/>
  <c r="M18"/>
  <c r="N18" s="1"/>
  <c r="M32"/>
  <c r="N32" s="1"/>
  <c r="N8"/>
  <c r="M22"/>
  <c r="N22" s="1"/>
  <c r="M36"/>
  <c r="N36" s="1"/>
  <c r="N12"/>
  <c r="M26"/>
  <c r="N26" s="1"/>
  <c r="M40"/>
  <c r="N40" s="1"/>
  <c r="N3"/>
  <c r="M31"/>
  <c r="N31" s="1"/>
  <c r="N7"/>
  <c r="M21"/>
  <c r="N21" s="1"/>
  <c r="M35"/>
  <c r="N35" s="1"/>
  <c r="N11"/>
  <c r="N25"/>
  <c r="N39"/>
  <c r="N2"/>
  <c r="N30"/>
  <c r="N16"/>
  <c r="N10"/>
  <c r="M24"/>
  <c r="N24" s="1"/>
  <c r="M38"/>
  <c r="N38" s="1"/>
  <c r="N5"/>
  <c r="M33"/>
  <c r="N33" s="1"/>
  <c r="M19"/>
  <c r="N19" s="1"/>
  <c r="N9"/>
  <c r="M37"/>
  <c r="N37" s="1"/>
  <c r="M23"/>
  <c r="N23" s="1"/>
  <c r="N13"/>
  <c r="M41"/>
  <c r="N41" s="1"/>
  <c r="M27"/>
  <c r="N27" s="1"/>
  <c r="N6"/>
  <c r="M20"/>
  <c r="N20" s="1"/>
  <c r="M34"/>
  <c r="N34" s="1"/>
</calcChain>
</file>

<file path=xl/sharedStrings.xml><?xml version="1.0" encoding="utf-8"?>
<sst xmlns="http://schemas.openxmlformats.org/spreadsheetml/2006/main" count="572" uniqueCount="198">
  <si>
    <t>Котлас-Южный, Сыктывкар, Ухта, Печора, Усинск, Воркута, Лабытнанги</t>
  </si>
  <si>
    <t>Сыктывкар</t>
  </si>
  <si>
    <t>Погрузочно-разгрузочные работы с порожними контейнерами, выполняемые РЖД при отправлении</t>
  </si>
  <si>
    <t xml:space="preserve">Приволжье, Текстильный, Кострома Новая </t>
  </si>
  <si>
    <t xml:space="preserve"> 1 контейнеро- операция</t>
  </si>
  <si>
    <t>20 фут пор до 24 тонн</t>
  </si>
  <si>
    <t xml:space="preserve">Приволжье,  Кострома Новая </t>
  </si>
  <si>
    <t>контейнер</t>
  </si>
  <si>
    <t>20 фут до 24 т</t>
  </si>
  <si>
    <t>20 фут пор свыше 24 т</t>
  </si>
  <si>
    <t>20 фут свыше 24 т</t>
  </si>
  <si>
    <t>40 фут пор</t>
  </si>
  <si>
    <t>40 фут</t>
  </si>
  <si>
    <t>Сыктывкар,</t>
  </si>
  <si>
    <t>20 фут порож до 24 тонн</t>
  </si>
  <si>
    <t>Текстильный</t>
  </si>
  <si>
    <t>20 фут до 20 т</t>
  </si>
  <si>
    <t>20 фут порож свыше 24 т</t>
  </si>
  <si>
    <t>Погрузочно-разгрузочные работы с гружеными контейнерами, выполняемые РЖД по прибытии</t>
  </si>
  <si>
    <t>20 фут груж до 24 тонн</t>
  </si>
  <si>
    <t>20 фут груж свыше 24 т</t>
  </si>
  <si>
    <t>40 фут груж</t>
  </si>
  <si>
    <t>Архангельск-Город</t>
  </si>
  <si>
    <t>Погрузочно-разгрузочные работы с порожними контейнерами, выполняемые ТрансКонтейнер при отправлении</t>
  </si>
  <si>
    <t>20 фут (до 24 тонн)</t>
  </si>
  <si>
    <t>20 фут (до 30 тонн)</t>
  </si>
  <si>
    <t xml:space="preserve">40 фут </t>
  </si>
  <si>
    <t>Погрузочно-разгрузочные работы с гружеными контейнерами, выполняемые ТрансКонтейнер при отправлении</t>
  </si>
  <si>
    <t>1  контейнеро- операция</t>
  </si>
  <si>
    <t>Предоставление ЗПУ по просьбе Заказчика</t>
  </si>
  <si>
    <t>количество</t>
  </si>
  <si>
    <t>20 фут, 40 фут</t>
  </si>
  <si>
    <t>Клещ-60Ц</t>
  </si>
  <si>
    <t>Спрут</t>
  </si>
  <si>
    <t>Архангельск-Город, Сыктывкар</t>
  </si>
  <si>
    <t>20 фут</t>
  </si>
  <si>
    <t>Организация и выполнение работ по отправлению / прибытию  контейнеров</t>
  </si>
  <si>
    <t>УТВЕРЖДАЮ:</t>
  </si>
  <si>
    <t>на Северной железной дороге</t>
  </si>
  <si>
    <t>____________________</t>
  </si>
  <si>
    <t>ФИО</t>
  </si>
  <si>
    <t>подпись</t>
  </si>
  <si>
    <t>ПРАЙС-ЛИСТ</t>
  </si>
  <si>
    <t>№ п/п</t>
  </si>
  <si>
    <t>Код услуги ЕПУ ТК</t>
  </si>
  <si>
    <t>Наименование работ и услуг</t>
  </si>
  <si>
    <t>Единицы измерения</t>
  </si>
  <si>
    <t xml:space="preserve">Типоразмер контейнера </t>
  </si>
  <si>
    <t>Стоимость услуги               (без НДС)</t>
  </si>
  <si>
    <t xml:space="preserve">Стоимость услуги                        с НДС 18% </t>
  </si>
  <si>
    <t>Примечание</t>
  </si>
  <si>
    <t>сутки</t>
  </si>
  <si>
    <t>контейнеро-сутки</t>
  </si>
  <si>
    <t xml:space="preserve">      Архангельск-Город</t>
  </si>
  <si>
    <t>Оформление за Клиента в информационных системах заказа на транспортно-экспедиторские услуги</t>
  </si>
  <si>
    <t>заказ</t>
  </si>
  <si>
    <t>Приволжье 1 зона (г. Ярославль)</t>
  </si>
  <si>
    <t>Приволжье 2 зона (г. Ярославль)</t>
  </si>
  <si>
    <t>Приволжье 3 зона (г. Ярославль)</t>
  </si>
  <si>
    <t>Приволжье 4 зона (г. Ярославль)</t>
  </si>
  <si>
    <t>Приволжье 5 зона (Ярославская обл., г.Ростов)</t>
  </si>
  <si>
    <t>Приволжье 7 зона (г. Вологда)</t>
  </si>
  <si>
    <t>Приволжье 8 зона (Ярославская обл., г.Переславль)</t>
  </si>
  <si>
    <t>Приволжье 10 зона (Вологодская обл., г.Череповец)</t>
  </si>
  <si>
    <t>Приволжье 11 зона (Ярославская обл., г.Углич)</t>
  </si>
  <si>
    <t>Приволжье 12 зона (Костромская обл., г.Буй)</t>
  </si>
  <si>
    <t>Приволжье 13 зона (Костромская обл., г.Нерехта)</t>
  </si>
  <si>
    <t>Приволжье 14 зона (г.Иваново)</t>
  </si>
  <si>
    <t>Приволжье 15 зона (Ивановская обл., г.Кинешма)</t>
  </si>
  <si>
    <t>Приволжье 16 зона (Ивановская обл., Тейково)</t>
  </si>
  <si>
    <t>Приволжье 17 зона (Ивановская обл., г.Шуя)</t>
  </si>
  <si>
    <t>Приволжье 18 зона (Костромская обл., г.Судиславль)</t>
  </si>
  <si>
    <t>Приволжье 19 зона (Костромская обл., г.Галич)</t>
  </si>
  <si>
    <t>Приволжье 20 зона (Вологодская обл., г.Шексна)</t>
  </si>
  <si>
    <t>Текстильный 1 зона (г. Иваново)</t>
  </si>
  <si>
    <t>Текстильный 2 зона (г. Иваново)</t>
  </si>
  <si>
    <t>Текстильный 3 зона (г. Иваново, Тейково)</t>
  </si>
  <si>
    <t>Текстильный 4 зона (Ивановская обл., г.Шуя)</t>
  </si>
  <si>
    <t>Текстильный 6 зона (Ивановская обл., г.Приволжск)</t>
  </si>
  <si>
    <t>Текстильный 7 зона (Ивановская обл., г.Вичуга)</t>
  </si>
  <si>
    <t>Текстильный 8 зона (Ивановская обл., г.Палех)</t>
  </si>
  <si>
    <t>Текстильный 9 зона (Ивановская обл., г.Гаврилов-Пасад)</t>
  </si>
  <si>
    <t>Текстильный 10 зона (Ивановская обл., г.Кинешма)</t>
  </si>
  <si>
    <t>Кострома Новая 1 зона (г.Кострома)</t>
  </si>
  <si>
    <t>Кострома Новая 2 зона (г.Кострома)</t>
  </si>
  <si>
    <t>Архангельск-Город 301 зона (г.Архангельск)</t>
  </si>
  <si>
    <t>Архангельск-Город 302 зона (г.Архангельск)</t>
  </si>
  <si>
    <t>Архангельск-Город 303 зона (г.Архангельск)</t>
  </si>
  <si>
    <t>Архангельск-Город 304 зона (г.Архангельск)</t>
  </si>
  <si>
    <t>Архангельск-Город 305 зона (г.Архангельск)</t>
  </si>
  <si>
    <t>Архангельск-Город 306 зона (г.Архангельск)</t>
  </si>
  <si>
    <t>Архангельск-Город 307 зона (г.Архангельск)</t>
  </si>
  <si>
    <t>Архангельск-Город 308 зона (Архангельская обл., Приморский р-н, пос. Рикасиха, пос.Боброво)</t>
  </si>
  <si>
    <t>Архангельск-Город 312 зона (г.Архангельск)</t>
  </si>
  <si>
    <t>Архангельск-Город 313 зона (г.Архангельск)</t>
  </si>
  <si>
    <t>Архангельск-Город 314 зона (г.Архангельск)</t>
  </si>
  <si>
    <t>Архангельск-Город 315 зона (г.Архангельск)</t>
  </si>
  <si>
    <t>Архангельск-Город 320 зона (Архангельская обл., Приморский р-н, месторождение им.Ломоносова)</t>
  </si>
  <si>
    <t>Архангельск-Город 323 зона  (Архангельская обл., Приморский р-н, месторождение им.Гриба)</t>
  </si>
  <si>
    <t>час</t>
  </si>
  <si>
    <t>Каждый дополнительный час простоя свыше 15 мин под грузовыми операциями</t>
  </si>
  <si>
    <t>на услуги по организации транспортно-экспедиционного обслуживания, предоставляемые филиалом     ПАО "ТрансКонтейнер" на  Северной  ж.д.,</t>
  </si>
  <si>
    <t>Приволжье 6 зона                                                                                                   (Вологодская обл., р-н Грязовецкий, пгт Вохтога)</t>
  </si>
  <si>
    <t>Буй, Шарья, Данилов, Рыбинск-товарный,  Шуя, Великий Устюг, Вологда-Пристань, Вологда-2, Череповец-1</t>
  </si>
  <si>
    <t>Котлас-Южный, Ухта, Печора, Усинск, Воркута, Лабытнанги</t>
  </si>
  <si>
    <t>Буй, Шарья, Данилов, Рыбинск-товарный, Великий Устюг, Вологда-Пристань, Вологда-2, Череповец-1</t>
  </si>
  <si>
    <t>Котлас-Южный,  Ухта, Печора, Усинск, Воркута, Лабытнанги</t>
  </si>
  <si>
    <t xml:space="preserve">Приволжье, Иваново, Кострома                                                 </t>
  </si>
  <si>
    <t>вагон</t>
  </si>
  <si>
    <t>вагон / КТК</t>
  </si>
  <si>
    <t>Кострома Новая  (Галич)</t>
  </si>
  <si>
    <t>Кострома Новая  (г.Мантурово)</t>
  </si>
  <si>
    <t>Кострома Новая  (Судиславский р-н, поселок г/т Судиславль; г.Нерехта)</t>
  </si>
  <si>
    <t>Прочие услуги терминалов/портов/депо;</t>
  </si>
  <si>
    <t xml:space="preserve"> Хранение контейнеров/грузов</t>
  </si>
  <si>
    <t>Дооборудование контейнера</t>
  </si>
  <si>
    <t>Предоставление запорно-пломбировочного устройства</t>
  </si>
  <si>
    <t xml:space="preserve"> Организация перевозки контейнеров/грузов автомобильным транспортом</t>
  </si>
  <si>
    <t>1.02.04.  Погрузочно-разгрузочные работы  по отправлению для iSales</t>
  </si>
  <si>
    <t>1.02.04.        (0.02.01.18. ЕСУ)</t>
  </si>
  <si>
    <t>Организация и выполнение работ по отправлению  контейнеров / вагонов   (кроме Агентств)</t>
  </si>
  <si>
    <t>1.02.04.  Погрузочно-разгрузочные работы  по прибытию для iSales</t>
  </si>
  <si>
    <t>1.02.04. Погрузочно-разгрузочные работы  по отправлению (кроме Агентств)</t>
  </si>
  <si>
    <t xml:space="preserve">ПРР ;   Организация работ ; ЗПУ </t>
  </si>
  <si>
    <t xml:space="preserve">ПРР ;  Организация работ </t>
  </si>
  <si>
    <t xml:space="preserve">ПРР ;   Организация работ </t>
  </si>
  <si>
    <t xml:space="preserve"> Сыктывкар</t>
  </si>
  <si>
    <t>Вес брутто до 24 тонн</t>
  </si>
  <si>
    <t>Вес брутто свыше  24 тонн</t>
  </si>
  <si>
    <t xml:space="preserve">20 фут </t>
  </si>
  <si>
    <t>контейнер ПАО ТрансКонтейнер / собственный контейнер</t>
  </si>
  <si>
    <t>Погрузочно-разгрузочные работы с контейнерами / грузами</t>
  </si>
  <si>
    <t>Кострома Новая         (Костромская обл., г.Буй)</t>
  </si>
  <si>
    <t>Кострома Новая         (Костромская обл., г.Нея)</t>
  </si>
  <si>
    <t>Архангельск-Город 310 зона                                                                                (Архангельская обл., г.Северодвинск)</t>
  </si>
  <si>
    <t>Архангельск-Город 335 зона                                                                                (Архангельская обл., пос.Плесецк)</t>
  </si>
  <si>
    <t>Работа автомобиля сверх норматива</t>
  </si>
  <si>
    <t xml:space="preserve">2.04.01. </t>
  </si>
  <si>
    <t>Дополнительные погрузо-разгрузочные работы с контейнерами / грузами</t>
  </si>
  <si>
    <t xml:space="preserve"> 1 контейнеро- операция </t>
  </si>
  <si>
    <t>порожний</t>
  </si>
  <si>
    <t>груженная Вес брутто до 24 тонн</t>
  </si>
  <si>
    <t>груженная Вес брутто свыше  24 тонн</t>
  </si>
  <si>
    <t>груженная</t>
  </si>
  <si>
    <t>Сыктывкар,Котлас-Южный, Ухта, Печора, Усинск, Воркута, Лабытнанги</t>
  </si>
  <si>
    <t>Приволжье, Текстильный, Кострома Новая , Вологда-2, Рыбинск-товарный, Вологда-Пристань, Череповец-1, Шарья</t>
  </si>
  <si>
    <t>порожний / груженный</t>
  </si>
  <si>
    <t xml:space="preserve">Организация обработки контейнеров/грузов на терминалах/ в портах/ в депо </t>
  </si>
  <si>
    <t>УСЛУГИ ТЕРМИНАЛОВ, ПОРТОВ, ДЕПО</t>
  </si>
  <si>
    <t>ПЛАТЕЖНО-ФИНАНСОВЫЕ И ПРОЧИЕ ЭКСПЕДИТОРСКИЕ УСЛУГИ</t>
  </si>
  <si>
    <t>АВТОТРАНСПОРТНЫЕ УСЛУГИ</t>
  </si>
  <si>
    <t>1.КОМПЛЕКСНЫЕ ТРАНСПОРТНО-ЭКСПЕДИЦИОННЫЕ УСЛУГИ</t>
  </si>
  <si>
    <t>2. ДОПОЛНИТЕЛЬНЫЕ ТРАНСПОРТНО-ЭКСПЕДИТОРСКИЕ УСЛУГИ.</t>
  </si>
  <si>
    <t>Архангельск-Город 309 зона                                                                                                         (Архангельская обл., пос.Беломорье)</t>
  </si>
  <si>
    <t>20 фут *</t>
  </si>
  <si>
    <t>40 фут *</t>
  </si>
  <si>
    <r>
      <rPr>
        <b/>
        <sz val="12"/>
        <rFont val="Cambria"/>
        <family val="1"/>
        <charset val="204"/>
        <scheme val="major"/>
      </rPr>
      <t>*</t>
    </r>
    <r>
      <rPr>
        <sz val="12"/>
        <rFont val="Cambria"/>
        <family val="1"/>
        <charset val="204"/>
        <scheme val="major"/>
      </rPr>
      <t xml:space="preserve"> 20 фут включает 3 часа использования клиентом автотранспорта Компании по загрузкой</t>
    </r>
  </si>
  <si>
    <r>
      <rPr>
        <b/>
        <sz val="12"/>
        <rFont val="Cambria"/>
        <family val="1"/>
        <charset val="204"/>
        <scheme val="major"/>
      </rPr>
      <t>*</t>
    </r>
    <r>
      <rPr>
        <sz val="12"/>
        <rFont val="Cambria"/>
        <family val="1"/>
        <charset val="204"/>
        <scheme val="major"/>
      </rPr>
      <t xml:space="preserve"> 40 фут включает 4 часа использования клиентом автотранспорта Компании по загрузкой</t>
    </r>
  </si>
  <si>
    <t>Сыктывкар, Котлас-Южный</t>
  </si>
  <si>
    <t>Приволжье, Текстильный, Кострома Новая , Вологда-Пристань, Череповец-1</t>
  </si>
  <si>
    <t>Котлас-Южный,  Ухта, Печора, Усинск, Воркута, Лабытнанги, Великий Устюг</t>
  </si>
  <si>
    <t xml:space="preserve"> Шарья, Рыбинск-товарный,  Великий Устюг, Вологда-Пристань, Вологда-2, Череповец-1, Котлас-Южный , Койты, Низовка, Ухта, Печора, Усинск, Воркута, Лабытнанги</t>
  </si>
  <si>
    <t xml:space="preserve"> Шарья, Вологда-Пристань, Вологда-2, Череповец-1</t>
  </si>
  <si>
    <t>Приволжье, Текстильный, Кострома Новая , Вологда-2, Вологда-Пристань, Череповец-1, Шарья</t>
  </si>
  <si>
    <t>Приволжье, Текстильный, Кострома Новая , Вологда-2, Вологда-Пристань, Череповец-1</t>
  </si>
  <si>
    <t>Прочие платежно-финансовые и иные экспедиторские усуги</t>
  </si>
  <si>
    <t>2.03.08.</t>
  </si>
  <si>
    <t>1.02.03. (ПР-11106 ЕПУ; ПР-11177 ЕСУ)</t>
  </si>
  <si>
    <t>01.02.03. (ПР-11115 ЕПУ; ПР-11180 ЕСУ)</t>
  </si>
  <si>
    <t>1.02.03. (ПР-11098 ЕПУ; ПР-11665 ЕСУ)</t>
  </si>
  <si>
    <t>1.02.03. (ПР-11086 ЕПУ; ПР-11662 ЕСУ)</t>
  </si>
  <si>
    <t>станции Северного филиала</t>
  </si>
  <si>
    <t>2.01.03. (ПР-13539 ЕПУ , ПР - 13535 ЕСУ)</t>
  </si>
  <si>
    <t xml:space="preserve"> Предоставление вагона/контейнера для доп операций, связанных с перевозкой грузов / контейнеров</t>
  </si>
  <si>
    <t>2.02.01. (ПР-13539 ЕПУ, ПР-13538 ЕСУ)</t>
  </si>
  <si>
    <t xml:space="preserve">2.02.02. (ПР-13539 ЕПУ, ПР-13535 ЕСУ)       </t>
  </si>
  <si>
    <t xml:space="preserve">2.02.04.  (ПР-13539 ЕПУ, ПР-13535 ЕСУ)  </t>
  </si>
  <si>
    <t xml:space="preserve">2.02.10. (ПР-13539 ЕПУ, ПР-13535 ЕСУ)  </t>
  </si>
  <si>
    <t xml:space="preserve">2.03.08. (ПР-13539 ЕПУ, ПР-13535 ЕСУ)  </t>
  </si>
  <si>
    <t xml:space="preserve">2.03.09. (ПР-13539 ЕПУ, ПР-13535 ЕСУ)        </t>
  </si>
  <si>
    <t xml:space="preserve">1.02.04.           (ПР-13541 )      </t>
  </si>
  <si>
    <r>
      <rPr>
        <b/>
        <sz val="11"/>
        <rFont val="Times New Roman"/>
        <family val="1"/>
        <charset val="204"/>
      </rPr>
      <t xml:space="preserve">1.02.04 </t>
    </r>
    <r>
      <rPr>
        <sz val="11"/>
        <rFont val="Times New Roman"/>
        <family val="1"/>
        <charset val="204"/>
      </rPr>
      <t xml:space="preserve"> (0.02.01.13.02. ЕСУ; )</t>
    </r>
  </si>
  <si>
    <t xml:space="preserve">1.02.04.Погрузочно-разгрузочные работы  </t>
  </si>
  <si>
    <r>
      <rPr>
        <b/>
        <sz val="11"/>
        <rFont val="Times New Roman"/>
        <family val="1"/>
        <charset val="204"/>
      </rPr>
      <t>1.02.04</t>
    </r>
    <r>
      <rPr>
        <sz val="11"/>
        <rFont val="Times New Roman"/>
        <family val="1"/>
        <charset val="204"/>
      </rPr>
      <t xml:space="preserve">  (0.02.01.13.02. ЕСУ; )</t>
    </r>
  </si>
  <si>
    <r>
      <rPr>
        <b/>
        <sz val="11"/>
        <rFont val="Times New Roman"/>
        <family val="1"/>
        <charset val="204"/>
      </rPr>
      <t>1.02.06.</t>
    </r>
    <r>
      <rPr>
        <sz val="11"/>
        <rFont val="Times New Roman"/>
        <family val="1"/>
        <charset val="204"/>
      </rPr>
      <t xml:space="preserve"> (0.02.01.13.01 ЕСУ; )</t>
    </r>
  </si>
  <si>
    <r>
      <rPr>
        <b/>
        <sz val="11"/>
        <rFont val="Times New Roman"/>
        <family val="1"/>
        <charset val="204"/>
      </rPr>
      <t>1.02.06.</t>
    </r>
    <r>
      <rPr>
        <sz val="11"/>
        <rFont val="Times New Roman"/>
        <family val="1"/>
        <charset val="204"/>
      </rPr>
      <t xml:space="preserve"> (0.02.01.13.01. ЕСУ; )</t>
    </r>
  </si>
  <si>
    <r>
      <rPr>
        <b/>
        <sz val="11"/>
        <rFont val="Times New Roman"/>
        <family val="1"/>
        <charset val="204"/>
      </rPr>
      <t xml:space="preserve">2.02.04. </t>
    </r>
    <r>
      <rPr>
        <sz val="11"/>
        <rFont val="Times New Roman"/>
        <family val="1"/>
        <charset val="204"/>
      </rPr>
      <t>(0.03.01.04. ЕСУ;)</t>
    </r>
  </si>
  <si>
    <r>
      <rPr>
        <b/>
        <sz val="11"/>
        <rFont val="Times New Roman"/>
        <family val="1"/>
        <charset val="204"/>
      </rPr>
      <t>1.02.04</t>
    </r>
    <r>
      <rPr>
        <sz val="11"/>
        <rFont val="Times New Roman"/>
        <family val="1"/>
        <charset val="204"/>
      </rPr>
      <t xml:space="preserve"> (0.03.01.11 ЕСУ)</t>
    </r>
  </si>
  <si>
    <r>
      <rPr>
        <b/>
        <sz val="11"/>
        <rFont val="Times New Roman"/>
        <family val="1"/>
        <charset val="204"/>
      </rPr>
      <t>1.02.04.</t>
    </r>
    <r>
      <rPr>
        <sz val="11"/>
        <rFont val="Times New Roman"/>
        <family val="1"/>
        <charset val="204"/>
      </rPr>
      <t xml:space="preserve"> (0.03.01.11.  ЕСУ)</t>
    </r>
  </si>
  <si>
    <t xml:space="preserve">Первый заместитель директора филиала  ПАО "ТрансКонтейнер" </t>
  </si>
  <si>
    <t>Губкин М.А.</t>
  </si>
  <si>
    <t>1-5 сутки</t>
  </si>
  <si>
    <t>6 и последующие</t>
  </si>
  <si>
    <t>01.02.06.</t>
  </si>
  <si>
    <t>1.02.06.</t>
  </si>
  <si>
    <t xml:space="preserve">действующий с  01.04.2018 г. (стоимость в рублях )    </t>
  </si>
  <si>
    <t>1.02.06.       (ПР-14367)</t>
  </si>
  <si>
    <t>2.02.01 (ПР-14362 ЕПУ; ПР-13538 ЕСУ)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</si>
</sst>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0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0"/>
      <name val="Arial Cyr"/>
      <charset val="204"/>
    </font>
    <font>
      <b/>
      <sz val="12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  <font>
      <sz val="11"/>
      <name val="Times New Roman"/>
      <family val="1"/>
      <charset val="204"/>
    </font>
    <font>
      <b/>
      <sz val="11"/>
      <color rgb="FFFF0000"/>
      <name val="Cambria"/>
      <family val="1"/>
      <charset val="204"/>
      <scheme val="major"/>
    </font>
    <font>
      <b/>
      <sz val="11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2"/>
      <name val="Times New Roman"/>
      <family val="1"/>
      <charset val="204"/>
    </font>
    <font>
      <b/>
      <i/>
      <sz val="12"/>
      <color theme="1"/>
      <name val="Cambria"/>
      <family val="1"/>
      <charset val="204"/>
      <scheme val="major"/>
    </font>
    <font>
      <b/>
      <i/>
      <sz val="12"/>
      <name val="Cambria"/>
      <family val="1"/>
      <charset val="204"/>
      <scheme val="major"/>
    </font>
    <font>
      <b/>
      <sz val="8"/>
      <name val="Cambria"/>
      <family val="1"/>
      <charset val="204"/>
      <scheme val="major"/>
    </font>
    <font>
      <b/>
      <sz val="8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7" fillId="0" borderId="0"/>
    <xf numFmtId="0" fontId="7" fillId="0" borderId="0"/>
  </cellStyleXfs>
  <cellXfs count="3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 applyFill="1"/>
    <xf numFmtId="0" fontId="1" fillId="0" borderId="0" xfId="0" applyFont="1" applyAlignment="1">
      <alignment horizontal="left"/>
    </xf>
    <xf numFmtId="0" fontId="1" fillId="0" borderId="0" xfId="0" applyFont="1" applyFill="1"/>
    <xf numFmtId="2" fontId="6" fillId="2" borderId="25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Border="1"/>
    <xf numFmtId="3" fontId="6" fillId="2" borderId="25" xfId="0" applyNumberFormat="1" applyFont="1" applyFill="1" applyBorder="1" applyAlignment="1">
      <alignment horizontal="center" vertical="center" wrapText="1"/>
    </xf>
    <xf numFmtId="4" fontId="6" fillId="2" borderId="25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2" fillId="0" borderId="0" xfId="0" applyFont="1" applyFill="1" applyAlignment="1">
      <alignment horizontal="left"/>
    </xf>
    <xf numFmtId="2" fontId="11" fillId="0" borderId="10" xfId="0" applyNumberFormat="1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/>
    <xf numFmtId="4" fontId="11" fillId="0" borderId="15" xfId="0" applyNumberFormat="1" applyFont="1" applyFill="1" applyBorder="1" applyAlignment="1">
      <alignment horizontal="center" vertical="center" wrapText="1"/>
    </xf>
    <xf numFmtId="2" fontId="11" fillId="0" borderId="21" xfId="0" applyNumberFormat="1" applyFont="1" applyFill="1" applyBorder="1" applyAlignment="1">
      <alignment horizontal="center" vertical="center"/>
    </xf>
    <xf numFmtId="3" fontId="11" fillId="0" borderId="22" xfId="0" applyNumberFormat="1" applyFont="1" applyFill="1" applyBorder="1" applyAlignment="1">
      <alignment horizontal="center" vertical="center"/>
    </xf>
    <xf numFmtId="4" fontId="11" fillId="0" borderId="22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/>
    <xf numFmtId="2" fontId="11" fillId="0" borderId="16" xfId="0" applyNumberFormat="1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>
      <alignment horizontal="center" vertical="center"/>
    </xf>
    <xf numFmtId="4" fontId="11" fillId="0" borderId="26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/>
    <xf numFmtId="2" fontId="11" fillId="0" borderId="27" xfId="0" applyNumberFormat="1" applyFont="1" applyFill="1" applyBorder="1" applyAlignment="1">
      <alignment horizontal="center" vertical="center"/>
    </xf>
    <xf numFmtId="3" fontId="11" fillId="0" borderId="28" xfId="0" applyNumberFormat="1" applyFont="1" applyFill="1" applyBorder="1" applyAlignment="1">
      <alignment horizontal="center" vertical="center"/>
    </xf>
    <xf numFmtId="4" fontId="11" fillId="0" borderId="29" xfId="0" applyNumberFormat="1" applyFont="1" applyFill="1" applyBorder="1" applyAlignment="1">
      <alignment horizontal="center" vertical="center" wrapText="1"/>
    </xf>
    <xf numFmtId="3" fontId="11" fillId="0" borderId="30" xfId="0" applyNumberFormat="1" applyFont="1" applyFill="1" applyBorder="1" applyAlignment="1">
      <alignment horizontal="center" vertical="center"/>
    </xf>
    <xf numFmtId="0" fontId="11" fillId="0" borderId="31" xfId="0" applyFont="1" applyFill="1" applyBorder="1"/>
    <xf numFmtId="3" fontId="11" fillId="0" borderId="33" xfId="0" applyNumberFormat="1" applyFont="1" applyFill="1" applyBorder="1" applyAlignment="1">
      <alignment horizontal="center" vertical="center"/>
    </xf>
    <xf numFmtId="0" fontId="11" fillId="0" borderId="34" xfId="0" applyFont="1" applyFill="1" applyBorder="1"/>
    <xf numFmtId="0" fontId="11" fillId="0" borderId="36" xfId="0" applyFont="1" applyFill="1" applyBorder="1"/>
    <xf numFmtId="4" fontId="11" fillId="0" borderId="25" xfId="0" applyNumberFormat="1" applyFont="1" applyFill="1" applyBorder="1" applyAlignment="1">
      <alignment horizontal="center" vertical="center" wrapText="1"/>
    </xf>
    <xf numFmtId="3" fontId="11" fillId="0" borderId="28" xfId="0" applyNumberFormat="1" applyFont="1" applyFill="1" applyBorder="1" applyAlignment="1">
      <alignment horizontal="center"/>
    </xf>
    <xf numFmtId="4" fontId="11" fillId="0" borderId="28" xfId="0" applyNumberFormat="1" applyFont="1" applyFill="1" applyBorder="1" applyAlignment="1">
      <alignment horizontal="center"/>
    </xf>
    <xf numFmtId="0" fontId="11" fillId="0" borderId="29" xfId="0" applyFont="1" applyFill="1" applyBorder="1"/>
    <xf numFmtId="0" fontId="11" fillId="0" borderId="9" xfId="0" applyFont="1" applyFill="1" applyBorder="1"/>
    <xf numFmtId="3" fontId="11" fillId="0" borderId="42" xfId="0" applyNumberFormat="1" applyFont="1" applyFill="1" applyBorder="1" applyAlignment="1">
      <alignment horizontal="center" vertical="center"/>
    </xf>
    <xf numFmtId="4" fontId="11" fillId="0" borderId="40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/>
    <xf numFmtId="2" fontId="11" fillId="0" borderId="37" xfId="0" applyNumberFormat="1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/>
    </xf>
    <xf numFmtId="4" fontId="11" fillId="0" borderId="35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 vertical="center"/>
    </xf>
    <xf numFmtId="2" fontId="11" fillId="0" borderId="38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2" fontId="11" fillId="0" borderId="46" xfId="0" applyNumberFormat="1" applyFont="1" applyFill="1" applyBorder="1" applyAlignment="1">
      <alignment horizontal="center" vertical="center"/>
    </xf>
    <xf numFmtId="4" fontId="11" fillId="0" borderId="28" xfId="0" applyNumberFormat="1" applyFont="1" applyFill="1" applyBorder="1" applyAlignment="1">
      <alignment horizontal="center" vertical="center" wrapText="1"/>
    </xf>
    <xf numFmtId="0" fontId="11" fillId="0" borderId="47" xfId="0" applyFont="1" applyFill="1" applyBorder="1"/>
    <xf numFmtId="2" fontId="11" fillId="0" borderId="22" xfId="0" applyNumberFormat="1" applyFont="1" applyFill="1" applyBorder="1" applyAlignment="1">
      <alignment horizontal="center" vertical="center"/>
    </xf>
    <xf numFmtId="0" fontId="11" fillId="0" borderId="22" xfId="0" applyNumberFormat="1" applyFont="1" applyFill="1" applyBorder="1" applyAlignment="1">
      <alignment horizontal="center" vertical="center" wrapText="1"/>
    </xf>
    <xf numFmtId="2" fontId="11" fillId="0" borderId="22" xfId="0" applyNumberFormat="1" applyFont="1" applyFill="1" applyBorder="1" applyAlignment="1">
      <alignment horizontal="center" vertical="center" wrapText="1"/>
    </xf>
    <xf numFmtId="2" fontId="11" fillId="0" borderId="23" xfId="0" applyNumberFormat="1" applyFont="1" applyFill="1" applyBorder="1" applyAlignment="1">
      <alignment horizontal="center" vertical="center"/>
    </xf>
    <xf numFmtId="2" fontId="11" fillId="0" borderId="26" xfId="0" applyNumberFormat="1" applyFont="1" applyFill="1" applyBorder="1" applyAlignment="1">
      <alignment horizontal="center" vertical="center"/>
    </xf>
    <xf numFmtId="2" fontId="11" fillId="0" borderId="40" xfId="0" applyNumberFormat="1" applyFont="1" applyFill="1" applyBorder="1" applyAlignment="1">
      <alignment horizontal="center" vertical="center"/>
    </xf>
    <xf numFmtId="0" fontId="11" fillId="0" borderId="40" xfId="0" applyNumberFormat="1" applyFont="1" applyFill="1" applyBorder="1" applyAlignment="1">
      <alignment horizontal="center" vertical="center" wrapText="1"/>
    </xf>
    <xf numFmtId="2" fontId="11" fillId="0" borderId="40" xfId="0" applyNumberFormat="1" applyFont="1" applyFill="1" applyBorder="1" applyAlignment="1">
      <alignment horizontal="center" vertical="center" wrapText="1"/>
    </xf>
    <xf numFmtId="2" fontId="11" fillId="0" borderId="29" xfId="0" applyNumberFormat="1" applyFont="1" applyFill="1" applyBorder="1" applyAlignment="1">
      <alignment horizontal="center" vertical="center"/>
    </xf>
    <xf numFmtId="2" fontId="11" fillId="0" borderId="25" xfId="0" applyNumberFormat="1" applyFont="1" applyFill="1" applyBorder="1" applyAlignment="1">
      <alignment horizontal="center" vertical="center"/>
    </xf>
    <xf numFmtId="2" fontId="11" fillId="0" borderId="28" xfId="0" applyNumberFormat="1" applyFont="1" applyFill="1" applyBorder="1" applyAlignment="1">
      <alignment horizontal="center" vertical="center"/>
    </xf>
    <xf numFmtId="3" fontId="11" fillId="0" borderId="2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4" fillId="0" borderId="0" xfId="0" applyFont="1" applyFill="1" applyBorder="1"/>
    <xf numFmtId="3" fontId="11" fillId="0" borderId="40" xfId="0" applyNumberFormat="1" applyFont="1" applyFill="1" applyBorder="1" applyAlignment="1">
      <alignment horizontal="center" vertical="center" wrapText="1"/>
    </xf>
    <xf numFmtId="0" fontId="11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 wrapText="1"/>
    </xf>
    <xf numFmtId="2" fontId="11" fillId="0" borderId="39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 wrapText="1"/>
    </xf>
    <xf numFmtId="0" fontId="11" fillId="0" borderId="51" xfId="0" applyFont="1" applyFill="1" applyBorder="1"/>
    <xf numFmtId="0" fontId="9" fillId="2" borderId="26" xfId="0" applyNumberFormat="1" applyFont="1" applyFill="1" applyBorder="1" applyAlignment="1">
      <alignment horizontal="center" vertical="center" wrapText="1"/>
    </xf>
    <xf numFmtId="0" fontId="6" fillId="2" borderId="28" xfId="1" applyNumberFormat="1" applyFont="1" applyFill="1" applyBorder="1" applyAlignment="1">
      <alignment horizontal="center" vertical="center" wrapText="1"/>
    </xf>
    <xf numFmtId="2" fontId="6" fillId="2" borderId="28" xfId="0" applyNumberFormat="1" applyFont="1" applyFill="1" applyBorder="1" applyAlignment="1">
      <alignment horizontal="center" vertical="center"/>
    </xf>
    <xf numFmtId="3" fontId="6" fillId="2" borderId="28" xfId="0" applyNumberFormat="1" applyFont="1" applyFill="1" applyBorder="1" applyAlignment="1">
      <alignment horizontal="center" vertical="center" wrapText="1"/>
    </xf>
    <xf numFmtId="4" fontId="6" fillId="2" borderId="28" xfId="0" applyNumberFormat="1" applyFont="1" applyFill="1" applyBorder="1" applyAlignment="1">
      <alignment horizontal="center" vertical="center" wrapText="1"/>
    </xf>
    <xf numFmtId="0" fontId="9" fillId="2" borderId="29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right" vertical="center" wrapText="1"/>
    </xf>
    <xf numFmtId="0" fontId="4" fillId="0" borderId="0" xfId="0" applyFont="1" applyFill="1" applyBorder="1" applyAlignment="1"/>
    <xf numFmtId="0" fontId="6" fillId="0" borderId="0" xfId="0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vertical="center" wrapText="1"/>
    </xf>
    <xf numFmtId="0" fontId="8" fillId="0" borderId="0" xfId="2" applyFont="1" applyFill="1" applyAlignment="1">
      <alignment vertical="center" wrapText="1"/>
    </xf>
    <xf numFmtId="0" fontId="6" fillId="2" borderId="25" xfId="1" applyNumberFormat="1" applyFont="1" applyFill="1" applyBorder="1" applyAlignment="1">
      <alignment horizontal="center" vertical="center" wrapText="1"/>
    </xf>
    <xf numFmtId="0" fontId="11" fillId="0" borderId="38" xfId="0" applyFont="1" applyFill="1" applyBorder="1" applyAlignment="1"/>
    <xf numFmtId="0" fontId="11" fillId="0" borderId="37" xfId="0" applyFont="1" applyFill="1" applyBorder="1" applyAlignment="1"/>
    <xf numFmtId="0" fontId="11" fillId="0" borderId="31" xfId="0" applyFont="1" applyFill="1" applyBorder="1" applyAlignment="1"/>
    <xf numFmtId="0" fontId="1" fillId="0" borderId="37" xfId="0" applyFont="1" applyBorder="1" applyAlignment="1"/>
    <xf numFmtId="0" fontId="1" fillId="0" borderId="38" xfId="0" applyFont="1" applyBorder="1" applyAlignment="1"/>
    <xf numFmtId="0" fontId="1" fillId="0" borderId="31" xfId="0" applyFont="1" applyBorder="1" applyAlignment="1"/>
    <xf numFmtId="0" fontId="4" fillId="0" borderId="7" xfId="0" applyFont="1" applyFill="1" applyBorder="1"/>
    <xf numFmtId="4" fontId="11" fillId="0" borderId="4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43" xfId="2" applyFont="1" applyFill="1" applyBorder="1" applyAlignment="1">
      <alignment vertical="center" wrapText="1"/>
    </xf>
    <xf numFmtId="0" fontId="8" fillId="0" borderId="25" xfId="3" applyFont="1" applyFill="1" applyBorder="1" applyAlignment="1">
      <alignment horizontal="center" vertical="center" wrapText="1"/>
    </xf>
    <xf numFmtId="4" fontId="8" fillId="0" borderId="25" xfId="3" applyNumberFormat="1" applyFont="1" applyFill="1" applyBorder="1" applyAlignment="1">
      <alignment horizontal="center" vertical="center" wrapText="1"/>
    </xf>
    <xf numFmtId="0" fontId="8" fillId="0" borderId="17" xfId="3" applyFont="1" applyFill="1" applyBorder="1" applyAlignment="1">
      <alignment horizontal="center" vertical="center" wrapText="1"/>
    </xf>
    <xf numFmtId="0" fontId="8" fillId="0" borderId="17" xfId="3" applyFont="1" applyFill="1" applyBorder="1" applyAlignment="1">
      <alignment horizontal="left" vertical="center" wrapText="1"/>
    </xf>
    <xf numFmtId="4" fontId="8" fillId="0" borderId="49" xfId="3" applyNumberFormat="1" applyFont="1" applyFill="1" applyBorder="1" applyAlignment="1">
      <alignment horizontal="center" vertical="center" wrapText="1"/>
    </xf>
    <xf numFmtId="0" fontId="8" fillId="0" borderId="50" xfId="3" applyFont="1" applyFill="1" applyBorder="1" applyAlignment="1">
      <alignment horizontal="center" vertical="center" wrapText="1"/>
    </xf>
    <xf numFmtId="0" fontId="16" fillId="0" borderId="35" xfId="0" applyFont="1" applyBorder="1" applyAlignment="1"/>
    <xf numFmtId="0" fontId="16" fillId="0" borderId="49" xfId="0" applyFont="1" applyBorder="1" applyAlignment="1"/>
    <xf numFmtId="0" fontId="16" fillId="0" borderId="50" xfId="0" applyFont="1" applyBorder="1" applyAlignment="1"/>
    <xf numFmtId="0" fontId="14" fillId="0" borderId="25" xfId="0" applyFont="1" applyBorder="1"/>
    <xf numFmtId="2" fontId="15" fillId="2" borderId="25" xfId="0" applyNumberFormat="1" applyFont="1" applyFill="1" applyBorder="1" applyAlignment="1">
      <alignment horizontal="center" vertical="center"/>
    </xf>
    <xf numFmtId="4" fontId="15" fillId="0" borderId="25" xfId="0" applyNumberFormat="1" applyFont="1" applyBorder="1" applyAlignment="1">
      <alignment horizontal="center" vertical="center"/>
    </xf>
    <xf numFmtId="0" fontId="15" fillId="0" borderId="25" xfId="0" applyFont="1" applyBorder="1"/>
    <xf numFmtId="4" fontId="14" fillId="0" borderId="25" xfId="0" applyNumberFormat="1" applyFont="1" applyBorder="1" applyAlignment="1">
      <alignment horizontal="center" vertical="center"/>
    </xf>
    <xf numFmtId="4" fontId="14" fillId="0" borderId="25" xfId="0" applyNumberFormat="1" applyFont="1" applyFill="1" applyBorder="1" applyAlignment="1">
      <alignment horizontal="center" vertical="center"/>
    </xf>
    <xf numFmtId="4" fontId="14" fillId="0" borderId="25" xfId="0" applyNumberFormat="1" applyFont="1" applyBorder="1" applyAlignment="1">
      <alignment horizontal="center"/>
    </xf>
    <xf numFmtId="0" fontId="16" fillId="0" borderId="24" xfId="0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left" vertical="center" wrapText="1"/>
    </xf>
    <xf numFmtId="0" fontId="16" fillId="0" borderId="43" xfId="0" applyFont="1" applyBorder="1" applyAlignment="1">
      <alignment horizontal="right" vertical="center"/>
    </xf>
    <xf numFmtId="0" fontId="14" fillId="0" borderId="25" xfId="0" applyFont="1" applyBorder="1" applyAlignment="1">
      <alignment horizontal="right" vertical="center" wrapText="1"/>
    </xf>
    <xf numFmtId="0" fontId="15" fillId="2" borderId="25" xfId="1" applyNumberFormat="1" applyFont="1" applyFill="1" applyBorder="1" applyAlignment="1">
      <alignment horizontal="center" vertical="center" wrapText="1"/>
    </xf>
    <xf numFmtId="4" fontId="15" fillId="2" borderId="25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4" fontId="15" fillId="2" borderId="33" xfId="0" applyNumberFormat="1" applyFont="1" applyFill="1" applyBorder="1" applyAlignment="1">
      <alignment horizontal="center" vertical="center" wrapText="1"/>
    </xf>
    <xf numFmtId="4" fontId="15" fillId="2" borderId="43" xfId="0" applyNumberFormat="1" applyFont="1" applyFill="1" applyBorder="1" applyAlignment="1">
      <alignment horizontal="center" vertical="center" wrapText="1"/>
    </xf>
    <xf numFmtId="2" fontId="15" fillId="2" borderId="17" xfId="0" applyNumberFormat="1" applyFont="1" applyFill="1" applyBorder="1" applyAlignment="1">
      <alignment horizontal="center" vertical="center"/>
    </xf>
    <xf numFmtId="4" fontId="14" fillId="0" borderId="17" xfId="0" applyNumberFormat="1" applyFont="1" applyFill="1" applyBorder="1" applyAlignment="1">
      <alignment horizontal="center" vertical="center"/>
    </xf>
    <xf numFmtId="4" fontId="15" fillId="2" borderId="0" xfId="0" applyNumberFormat="1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left" vertical="center" wrapText="1"/>
    </xf>
    <xf numFmtId="3" fontId="14" fillId="0" borderId="25" xfId="0" applyNumberFormat="1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vertical="center"/>
    </xf>
    <xf numFmtId="0" fontId="16" fillId="0" borderId="50" xfId="0" applyFont="1" applyBorder="1" applyAlignment="1">
      <alignment vertical="center" wrapText="1"/>
    </xf>
    <xf numFmtId="2" fontId="15" fillId="2" borderId="22" xfId="0" applyNumberFormat="1" applyFont="1" applyFill="1" applyBorder="1" applyAlignment="1">
      <alignment horizontal="center" vertical="center"/>
    </xf>
    <xf numFmtId="2" fontId="14" fillId="0" borderId="17" xfId="0" applyNumberFormat="1" applyFont="1" applyBorder="1" applyAlignment="1">
      <alignment horizontal="center"/>
    </xf>
    <xf numFmtId="0" fontId="14" fillId="0" borderId="17" xfId="0" applyFont="1" applyBorder="1"/>
    <xf numFmtId="0" fontId="8" fillId="2" borderId="17" xfId="0" applyNumberFormat="1" applyFont="1" applyFill="1" applyBorder="1" applyAlignment="1">
      <alignment horizontal="center" vertical="center" wrapText="1"/>
    </xf>
    <xf numFmtId="4" fontId="15" fillId="0" borderId="25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/>
    </xf>
    <xf numFmtId="4" fontId="15" fillId="0" borderId="17" xfId="0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4" fontId="15" fillId="0" borderId="25" xfId="0" applyNumberFormat="1" applyFont="1" applyFill="1" applyBorder="1" applyAlignment="1">
      <alignment horizontal="center" vertical="center"/>
    </xf>
    <xf numFmtId="0" fontId="15" fillId="2" borderId="25" xfId="0" applyNumberFormat="1" applyFont="1" applyFill="1" applyBorder="1" applyAlignment="1">
      <alignment horizontal="right" vertical="center" wrapText="1"/>
    </xf>
    <xf numFmtId="0" fontId="15" fillId="2" borderId="18" xfId="0" applyNumberFormat="1" applyFont="1" applyFill="1" applyBorder="1" applyAlignment="1">
      <alignment horizontal="right" vertical="center" wrapText="1"/>
    </xf>
    <xf numFmtId="2" fontId="15" fillId="0" borderId="22" xfId="0" applyNumberFormat="1" applyFont="1" applyFill="1" applyBorder="1" applyAlignment="1">
      <alignment horizontal="center" vertical="center"/>
    </xf>
    <xf numFmtId="2" fontId="15" fillId="0" borderId="22" xfId="0" applyNumberFormat="1" applyFont="1" applyFill="1" applyBorder="1" applyAlignment="1">
      <alignment horizontal="center" vertical="center" wrapText="1"/>
    </xf>
    <xf numFmtId="2" fontId="15" fillId="0" borderId="25" xfId="0" applyNumberFormat="1" applyFont="1" applyFill="1" applyBorder="1" applyAlignment="1">
      <alignment horizontal="center" vertical="center"/>
    </xf>
    <xf numFmtId="2" fontId="15" fillId="2" borderId="50" xfId="0" applyNumberFormat="1" applyFont="1" applyFill="1" applyBorder="1" applyAlignment="1">
      <alignment horizontal="center" vertical="center"/>
    </xf>
    <xf numFmtId="2" fontId="15" fillId="2" borderId="22" xfId="0" applyNumberFormat="1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vertical="center" wrapText="1"/>
    </xf>
    <xf numFmtId="0" fontId="15" fillId="0" borderId="0" xfId="0" applyFont="1"/>
    <xf numFmtId="0" fontId="15" fillId="0" borderId="17" xfId="0" applyFont="1" applyBorder="1" applyAlignment="1">
      <alignment horizontal="right" vertical="center" wrapText="1"/>
    </xf>
    <xf numFmtId="2" fontId="15" fillId="2" borderId="25" xfId="0" applyNumberFormat="1" applyFont="1" applyFill="1" applyBorder="1" applyAlignment="1">
      <alignment horizontal="center" vertical="center" wrapText="1"/>
    </xf>
    <xf numFmtId="4" fontId="15" fillId="2" borderId="22" xfId="0" applyNumberFormat="1" applyFont="1" applyFill="1" applyBorder="1" applyAlignment="1">
      <alignment horizontal="center" vertical="center" wrapText="1"/>
    </xf>
    <xf numFmtId="0" fontId="8" fillId="2" borderId="22" xfId="0" applyNumberFormat="1" applyFont="1" applyFill="1" applyBorder="1" applyAlignment="1">
      <alignment horizontal="center" vertical="center" wrapText="1"/>
    </xf>
    <xf numFmtId="4" fontId="15" fillId="2" borderId="48" xfId="0" applyNumberFormat="1" applyFont="1" applyFill="1" applyBorder="1" applyAlignment="1">
      <alignment horizontal="center" vertical="center" wrapText="1"/>
    </xf>
    <xf numFmtId="0" fontId="18" fillId="0" borderId="35" xfId="0" applyFont="1" applyBorder="1" applyAlignment="1">
      <alignment horizontal="left"/>
    </xf>
    <xf numFmtId="0" fontId="14" fillId="0" borderId="49" xfId="0" applyFont="1" applyBorder="1" applyAlignment="1">
      <alignment horizontal="left"/>
    </xf>
    <xf numFmtId="0" fontId="14" fillId="0" borderId="50" xfId="0" applyFont="1" applyBorder="1" applyAlignment="1">
      <alignment horizontal="left"/>
    </xf>
    <xf numFmtId="0" fontId="14" fillId="0" borderId="35" xfId="0" applyFont="1" applyBorder="1" applyAlignment="1">
      <alignment horizontal="left"/>
    </xf>
    <xf numFmtId="0" fontId="14" fillId="0" borderId="49" xfId="0" applyFont="1" applyBorder="1" applyAlignment="1"/>
    <xf numFmtId="0" fontId="14" fillId="0" borderId="50" xfId="0" applyFont="1" applyBorder="1" applyAlignment="1"/>
    <xf numFmtId="0" fontId="15" fillId="0" borderId="17" xfId="0" applyNumberFormat="1" applyFont="1" applyFill="1" applyBorder="1" applyAlignment="1">
      <alignment horizontal="right" vertical="center" wrapText="1"/>
    </xf>
    <xf numFmtId="0" fontId="15" fillId="0" borderId="22" xfId="0" applyNumberFormat="1" applyFont="1" applyFill="1" applyBorder="1" applyAlignment="1">
      <alignment horizontal="right" vertical="center" wrapText="1"/>
    </xf>
    <xf numFmtId="0" fontId="15" fillId="0" borderId="25" xfId="0" applyNumberFormat="1" applyFont="1" applyFill="1" applyBorder="1" applyAlignment="1">
      <alignment horizontal="right" vertical="center" wrapText="1"/>
    </xf>
    <xf numFmtId="0" fontId="14" fillId="0" borderId="25" xfId="0" applyFont="1" applyBorder="1" applyAlignment="1">
      <alignment horizontal="right" vertical="center" wrapText="1"/>
    </xf>
    <xf numFmtId="0" fontId="15" fillId="0" borderId="25" xfId="0" applyFont="1" applyFill="1" applyBorder="1" applyAlignment="1">
      <alignment horizontal="right" vertical="center" wrapText="1"/>
    </xf>
    <xf numFmtId="0" fontId="15" fillId="2" borderId="49" xfId="0" applyNumberFormat="1" applyFont="1" applyFill="1" applyBorder="1" applyAlignment="1">
      <alignment horizontal="center" wrapText="1"/>
    </xf>
    <xf numFmtId="0" fontId="19" fillId="2" borderId="35" xfId="0" applyNumberFormat="1" applyFont="1" applyFill="1" applyBorder="1" applyAlignment="1">
      <alignment horizontal="left" wrapText="1"/>
    </xf>
    <xf numFmtId="3" fontId="11" fillId="0" borderId="18" xfId="0" applyNumberFormat="1" applyFont="1" applyFill="1" applyBorder="1" applyAlignment="1">
      <alignment horizontal="center" vertical="center"/>
    </xf>
    <xf numFmtId="3" fontId="11" fillId="0" borderId="35" xfId="0" applyNumberFormat="1" applyFont="1" applyFill="1" applyBorder="1" applyAlignment="1">
      <alignment horizontal="center" vertical="center"/>
    </xf>
    <xf numFmtId="2" fontId="15" fillId="2" borderId="49" xfId="0" applyNumberFormat="1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3" fontId="11" fillId="0" borderId="33" xfId="0" applyNumberFormat="1" applyFont="1" applyFill="1" applyBorder="1" applyAlignment="1">
      <alignment horizontal="center"/>
    </xf>
    <xf numFmtId="0" fontId="15" fillId="2" borderId="25" xfId="0" applyNumberFormat="1" applyFont="1" applyFill="1" applyBorder="1" applyAlignment="1">
      <alignment horizontal="right" vertical="center" wrapText="1"/>
    </xf>
    <xf numFmtId="2" fontId="15" fillId="0" borderId="25" xfId="0" applyNumberFormat="1" applyFont="1" applyBorder="1" applyAlignment="1">
      <alignment horizontal="center" vertical="center"/>
    </xf>
    <xf numFmtId="2" fontId="15" fillId="0" borderId="17" xfId="0" applyNumberFormat="1" applyFont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2" fontId="15" fillId="2" borderId="25" xfId="0" applyNumberFormat="1" applyFont="1" applyFill="1" applyBorder="1" applyAlignment="1">
      <alignment horizontal="center"/>
    </xf>
    <xf numFmtId="4" fontId="14" fillId="0" borderId="25" xfId="0" applyNumberFormat="1" applyFont="1" applyFill="1" applyBorder="1" applyAlignment="1">
      <alignment horizontal="center"/>
    </xf>
    <xf numFmtId="2" fontId="15" fillId="2" borderId="25" xfId="0" applyNumberFormat="1" applyFont="1" applyFill="1" applyBorder="1" applyAlignment="1">
      <alignment horizontal="center" vertical="top"/>
    </xf>
    <xf numFmtId="4" fontId="14" fillId="0" borderId="25" xfId="0" applyNumberFormat="1" applyFont="1" applyFill="1" applyBorder="1" applyAlignment="1">
      <alignment horizontal="center" vertical="top"/>
    </xf>
    <xf numFmtId="4" fontId="14" fillId="0" borderId="25" xfId="0" applyNumberFormat="1" applyFont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39" xfId="0" applyNumberFormat="1" applyFont="1" applyFill="1" applyBorder="1" applyAlignment="1">
      <alignment horizontal="left" vertical="center" wrapText="1"/>
    </xf>
    <xf numFmtId="0" fontId="11" fillId="0" borderId="44" xfId="0" applyNumberFormat="1" applyFont="1" applyFill="1" applyBorder="1" applyAlignment="1">
      <alignment horizontal="left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4" fontId="11" fillId="0" borderId="12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right" vertical="center" wrapText="1"/>
    </xf>
    <xf numFmtId="0" fontId="11" fillId="0" borderId="19" xfId="0" applyFont="1" applyFill="1" applyBorder="1" applyAlignment="1">
      <alignment horizontal="right" vertical="center" wrapText="1"/>
    </xf>
    <xf numFmtId="0" fontId="11" fillId="0" borderId="21" xfId="0" applyFont="1" applyFill="1" applyBorder="1" applyAlignment="1">
      <alignment horizontal="right" vertical="center" wrapText="1"/>
    </xf>
    <xf numFmtId="0" fontId="11" fillId="0" borderId="14" xfId="1" applyNumberFormat="1" applyFont="1" applyFill="1" applyBorder="1" applyAlignment="1">
      <alignment horizontal="center" vertical="center" wrapText="1"/>
    </xf>
    <xf numFmtId="0" fontId="11" fillId="0" borderId="20" xfId="1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right" vertical="center" wrapText="1"/>
    </xf>
    <xf numFmtId="0" fontId="11" fillId="0" borderId="32" xfId="0" applyNumberFormat="1" applyFont="1" applyFill="1" applyBorder="1" applyAlignment="1">
      <alignment horizontal="right" vertical="center" wrapText="1"/>
    </xf>
    <xf numFmtId="0" fontId="11" fillId="0" borderId="45" xfId="0" applyNumberFormat="1" applyFont="1" applyFill="1" applyBorder="1" applyAlignment="1">
      <alignment horizontal="right" vertical="center" wrapText="1"/>
    </xf>
    <xf numFmtId="0" fontId="11" fillId="0" borderId="41" xfId="1" applyNumberFormat="1" applyFont="1" applyFill="1" applyBorder="1" applyAlignment="1">
      <alignment horizontal="center" vertical="center" wrapText="1"/>
    </xf>
    <xf numFmtId="0" fontId="11" fillId="0" borderId="7" xfId="1" applyNumberFormat="1" applyFont="1" applyFill="1" applyBorder="1" applyAlignment="1">
      <alignment horizontal="left" vertical="center" wrapText="1"/>
    </xf>
    <xf numFmtId="0" fontId="11" fillId="0" borderId="8" xfId="1" applyNumberFormat="1" applyFont="1" applyFill="1" applyBorder="1" applyAlignment="1">
      <alignment horizontal="left" vertical="center" wrapText="1"/>
    </xf>
    <xf numFmtId="0" fontId="11" fillId="0" borderId="9" xfId="1" applyNumberFormat="1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right" vertical="center" wrapText="1"/>
    </xf>
    <xf numFmtId="0" fontId="11" fillId="0" borderId="37" xfId="0" applyFont="1" applyFill="1" applyBorder="1" applyAlignment="1">
      <alignment horizontal="left" wrapText="1"/>
    </xf>
    <xf numFmtId="0" fontId="11" fillId="0" borderId="38" xfId="0" applyFont="1" applyFill="1" applyBorder="1" applyAlignment="1">
      <alignment horizontal="left" wrapText="1"/>
    </xf>
    <xf numFmtId="0" fontId="11" fillId="0" borderId="8" xfId="0" applyFont="1" applyFill="1" applyBorder="1" applyAlignment="1">
      <alignment horizontal="left" wrapText="1"/>
    </xf>
    <xf numFmtId="0" fontId="11" fillId="0" borderId="9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left" wrapText="1"/>
    </xf>
    <xf numFmtId="0" fontId="11" fillId="0" borderId="13" xfId="0" applyNumberFormat="1" applyFont="1" applyFill="1" applyBorder="1" applyAlignment="1">
      <alignment horizontal="right" vertical="center" wrapText="1"/>
    </xf>
    <xf numFmtId="0" fontId="11" fillId="0" borderId="19" xfId="0" applyNumberFormat="1" applyFont="1" applyFill="1" applyBorder="1" applyAlignment="1">
      <alignment horizontal="right" vertical="center" wrapText="1"/>
    </xf>
    <xf numFmtId="0" fontId="11" fillId="0" borderId="44" xfId="0" applyNumberFormat="1" applyFont="1" applyFill="1" applyBorder="1" applyAlignment="1">
      <alignment horizontal="right" vertical="center" wrapText="1"/>
    </xf>
    <xf numFmtId="0" fontId="11" fillId="0" borderId="15" xfId="1" applyNumberFormat="1" applyFont="1" applyFill="1" applyBorder="1" applyAlignment="1">
      <alignment horizontal="center" vertical="center" wrapText="1"/>
    </xf>
    <xf numFmtId="0" fontId="11" fillId="0" borderId="26" xfId="1" applyNumberFormat="1" applyFont="1" applyFill="1" applyBorder="1" applyAlignment="1">
      <alignment horizontal="center" vertical="center" wrapText="1"/>
    </xf>
    <xf numFmtId="0" fontId="11" fillId="0" borderId="29" xfId="1" applyNumberFormat="1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left"/>
    </xf>
    <xf numFmtId="0" fontId="11" fillId="0" borderId="38" xfId="0" applyFont="1" applyFill="1" applyBorder="1" applyAlignment="1">
      <alignment horizontal="left"/>
    </xf>
    <xf numFmtId="0" fontId="11" fillId="0" borderId="31" xfId="0" applyFont="1" applyFill="1" applyBorder="1" applyAlignment="1">
      <alignment horizontal="left"/>
    </xf>
    <xf numFmtId="0" fontId="11" fillId="0" borderId="17" xfId="1" applyNumberFormat="1" applyFont="1" applyFill="1" applyBorder="1" applyAlignment="1">
      <alignment horizontal="center" vertical="center" wrapText="1"/>
    </xf>
    <xf numFmtId="0" fontId="11" fillId="0" borderId="24" xfId="1" applyNumberFormat="1" applyFont="1" applyFill="1" applyBorder="1" applyAlignment="1">
      <alignment horizontal="center" vertical="center" wrapText="1"/>
    </xf>
    <xf numFmtId="0" fontId="11" fillId="0" borderId="40" xfId="1" applyNumberFormat="1" applyFont="1" applyFill="1" applyBorder="1" applyAlignment="1">
      <alignment horizontal="center" vertical="center" wrapText="1"/>
    </xf>
    <xf numFmtId="0" fontId="11" fillId="0" borderId="39" xfId="0" applyNumberFormat="1" applyFont="1" applyFill="1" applyBorder="1" applyAlignment="1">
      <alignment horizontal="right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4" fillId="0" borderId="20" xfId="0" applyFont="1" applyFill="1" applyBorder="1"/>
    <xf numFmtId="0" fontId="4" fillId="0" borderId="4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21" xfId="0" applyNumberFormat="1" applyFont="1" applyFill="1" applyBorder="1" applyAlignment="1">
      <alignment horizontal="right" vertical="center" wrapText="1"/>
    </xf>
    <xf numFmtId="0" fontId="11" fillId="0" borderId="39" xfId="0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right" vertical="center"/>
    </xf>
    <xf numFmtId="0" fontId="11" fillId="0" borderId="44" xfId="0" applyFont="1" applyFill="1" applyBorder="1" applyAlignment="1">
      <alignment horizontal="right" vertical="center"/>
    </xf>
    <xf numFmtId="0" fontId="11" fillId="0" borderId="56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right" vertical="center" wrapText="1"/>
    </xf>
    <xf numFmtId="0" fontId="1" fillId="0" borderId="40" xfId="0" applyFont="1" applyBorder="1" applyAlignment="1">
      <alignment horizontal="right" vertical="center" wrapText="1"/>
    </xf>
    <xf numFmtId="0" fontId="11" fillId="0" borderId="5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1" fillId="0" borderId="52" xfId="1" applyNumberFormat="1" applyFont="1" applyFill="1" applyBorder="1" applyAlignment="1">
      <alignment horizontal="center" vertical="center" wrapText="1"/>
    </xf>
    <xf numFmtId="0" fontId="11" fillId="0" borderId="53" xfId="1" applyNumberFormat="1" applyFont="1" applyFill="1" applyBorder="1" applyAlignment="1">
      <alignment horizontal="center" vertical="center" wrapText="1"/>
    </xf>
    <xf numFmtId="0" fontId="11" fillId="0" borderId="54" xfId="1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2" borderId="17" xfId="0" applyNumberFormat="1" applyFont="1" applyFill="1" applyBorder="1" applyAlignment="1">
      <alignment horizontal="center" vertical="center" wrapText="1"/>
    </xf>
    <xf numFmtId="0" fontId="8" fillId="2" borderId="24" xfId="0" applyNumberFormat="1" applyFont="1" applyFill="1" applyBorder="1" applyAlignment="1">
      <alignment horizontal="center" vertical="center" wrapText="1"/>
    </xf>
    <xf numFmtId="0" fontId="8" fillId="2" borderId="22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20" fillId="0" borderId="17" xfId="0" applyNumberFormat="1" applyFont="1" applyFill="1" applyBorder="1" applyAlignment="1">
      <alignment horizontal="center" vertical="center" wrapText="1"/>
    </xf>
    <xf numFmtId="0" fontId="20" fillId="0" borderId="22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8" fillId="0" borderId="0" xfId="2" applyFont="1" applyFill="1" applyAlignment="1">
      <alignment horizontal="center" vertical="center" wrapText="1"/>
    </xf>
    <xf numFmtId="0" fontId="18" fillId="0" borderId="35" xfId="0" applyFont="1" applyBorder="1" applyAlignment="1">
      <alignment horizontal="left" wrapText="1"/>
    </xf>
    <xf numFmtId="0" fontId="18" fillId="0" borderId="49" xfId="0" applyFont="1" applyBorder="1" applyAlignment="1">
      <alignment horizontal="left" wrapText="1"/>
    </xf>
    <xf numFmtId="0" fontId="18" fillId="0" borderId="50" xfId="0" applyFont="1" applyBorder="1" applyAlignment="1">
      <alignment horizontal="left" wrapText="1"/>
    </xf>
    <xf numFmtId="0" fontId="14" fillId="0" borderId="1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17" xfId="0" applyFont="1" applyBorder="1" applyAlignment="1">
      <alignment horizontal="right" vertical="center" wrapText="1"/>
    </xf>
    <xf numFmtId="0" fontId="14" fillId="0" borderId="24" xfId="0" applyFont="1" applyBorder="1" applyAlignment="1">
      <alignment horizontal="right" vertical="center" wrapText="1"/>
    </xf>
    <xf numFmtId="0" fontId="14" fillId="0" borderId="22" xfId="0" applyFont="1" applyBorder="1" applyAlignment="1">
      <alignment horizontal="right" vertical="center" wrapText="1"/>
    </xf>
    <xf numFmtId="0" fontId="16" fillId="0" borderId="35" xfId="0" applyFont="1" applyBorder="1" applyAlignment="1">
      <alignment horizontal="left" vertical="center"/>
    </xf>
    <xf numFmtId="0" fontId="16" fillId="0" borderId="49" xfId="0" applyFont="1" applyBorder="1" applyAlignment="1">
      <alignment horizontal="left" vertical="center"/>
    </xf>
    <xf numFmtId="0" fontId="16" fillId="0" borderId="50" xfId="0" applyFont="1" applyBorder="1" applyAlignment="1">
      <alignment horizontal="left" vertical="center"/>
    </xf>
    <xf numFmtId="0" fontId="15" fillId="2" borderId="17" xfId="0" applyNumberFormat="1" applyFont="1" applyFill="1" applyBorder="1" applyAlignment="1">
      <alignment horizontal="right" vertical="center" wrapText="1"/>
    </xf>
    <xf numFmtId="0" fontId="15" fillId="2" borderId="24" xfId="0" applyNumberFormat="1" applyFont="1" applyFill="1" applyBorder="1" applyAlignment="1">
      <alignment horizontal="right" vertical="center" wrapText="1"/>
    </xf>
    <xf numFmtId="0" fontId="15" fillId="2" borderId="22" xfId="0" applyNumberFormat="1" applyFont="1" applyFill="1" applyBorder="1" applyAlignment="1">
      <alignment horizontal="righ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15" fillId="0" borderId="17" xfId="0" applyNumberFormat="1" applyFont="1" applyFill="1" applyBorder="1" applyAlignment="1">
      <alignment horizontal="right" vertical="center" wrapText="1"/>
    </xf>
    <xf numFmtId="0" fontId="15" fillId="0" borderId="22" xfId="0" applyNumberFormat="1" applyFont="1" applyFill="1" applyBorder="1" applyAlignment="1">
      <alignment horizontal="right" vertical="center" wrapText="1"/>
    </xf>
    <xf numFmtId="0" fontId="15" fillId="0" borderId="17" xfId="0" applyFont="1" applyFill="1" applyBorder="1" applyAlignment="1">
      <alignment horizontal="right" vertical="center" wrapText="1"/>
    </xf>
    <xf numFmtId="0" fontId="15" fillId="0" borderId="22" xfId="0" applyFont="1" applyFill="1" applyBorder="1" applyAlignment="1">
      <alignment horizontal="right" vertical="center" wrapText="1"/>
    </xf>
    <xf numFmtId="0" fontId="14" fillId="0" borderId="17" xfId="0" applyFont="1" applyBorder="1" applyAlignment="1">
      <alignment horizontal="right" vertical="center"/>
    </xf>
    <xf numFmtId="0" fontId="14" fillId="0" borderId="24" xfId="0" applyFont="1" applyBorder="1" applyAlignment="1">
      <alignment horizontal="right" vertical="center"/>
    </xf>
    <xf numFmtId="0" fontId="14" fillId="0" borderId="22" xfId="0" applyFont="1" applyBorder="1" applyAlignment="1">
      <alignment horizontal="right" vertical="center"/>
    </xf>
    <xf numFmtId="14" fontId="9" fillId="0" borderId="17" xfId="0" applyNumberFormat="1" applyFont="1" applyFill="1" applyBorder="1" applyAlignment="1">
      <alignment horizontal="center" vertical="center" wrapText="1"/>
    </xf>
    <xf numFmtId="14" fontId="9" fillId="0" borderId="22" xfId="0" applyNumberFormat="1" applyFont="1" applyFill="1" applyBorder="1" applyAlignment="1">
      <alignment horizontal="center" vertical="center" wrapText="1"/>
    </xf>
    <xf numFmtId="14" fontId="16" fillId="0" borderId="17" xfId="0" applyNumberFormat="1" applyFont="1" applyBorder="1" applyAlignment="1">
      <alignment horizontal="center" vertical="center" wrapText="1"/>
    </xf>
    <xf numFmtId="14" fontId="16" fillId="0" borderId="24" xfId="0" applyNumberFormat="1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5" fillId="2" borderId="17" xfId="1" applyNumberFormat="1" applyFont="1" applyFill="1" applyBorder="1" applyAlignment="1">
      <alignment horizontal="center" vertical="center" wrapText="1"/>
    </xf>
    <xf numFmtId="0" fontId="15" fillId="2" borderId="24" xfId="1" applyNumberFormat="1" applyFont="1" applyFill="1" applyBorder="1" applyAlignment="1">
      <alignment horizontal="center" vertical="center" wrapText="1"/>
    </xf>
    <xf numFmtId="0" fontId="15" fillId="2" borderId="22" xfId="1" applyNumberFormat="1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top"/>
    </xf>
    <xf numFmtId="0" fontId="14" fillId="0" borderId="22" xfId="0" applyFont="1" applyBorder="1" applyAlignment="1">
      <alignment horizontal="left" vertical="top"/>
    </xf>
    <xf numFmtId="0" fontId="14" fillId="0" borderId="17" xfId="0" applyFont="1" applyBorder="1" applyAlignment="1">
      <alignment horizontal="center" vertical="top"/>
    </xf>
    <xf numFmtId="0" fontId="14" fillId="0" borderId="22" xfId="0" applyFont="1" applyBorder="1" applyAlignment="1">
      <alignment horizontal="center" vertical="top"/>
    </xf>
    <xf numFmtId="0" fontId="0" fillId="0" borderId="24" xfId="0" applyBorder="1"/>
    <xf numFmtId="0" fontId="0" fillId="0" borderId="22" xfId="0" applyBorder="1"/>
    <xf numFmtId="0" fontId="18" fillId="0" borderId="35" xfId="0" applyFont="1" applyBorder="1" applyAlignment="1">
      <alignment horizontal="left"/>
    </xf>
    <xf numFmtId="0" fontId="18" fillId="0" borderId="49" xfId="0" applyFont="1" applyBorder="1" applyAlignment="1">
      <alignment horizontal="left"/>
    </xf>
    <xf numFmtId="0" fontId="18" fillId="0" borderId="50" xfId="0" applyFont="1" applyBorder="1" applyAlignment="1">
      <alignment horizontal="left"/>
    </xf>
    <xf numFmtId="0" fontId="15" fillId="0" borderId="17" xfId="1" applyNumberFormat="1" applyFont="1" applyFill="1" applyBorder="1" applyAlignment="1">
      <alignment horizontal="center" vertical="center" wrapText="1"/>
    </xf>
    <xf numFmtId="0" fontId="15" fillId="0" borderId="22" xfId="1" applyNumberFormat="1" applyFont="1" applyFill="1" applyBorder="1" applyAlignment="1">
      <alignment horizontal="center" vertical="center" wrapText="1"/>
    </xf>
    <xf numFmtId="0" fontId="8" fillId="0" borderId="43" xfId="2" applyFont="1" applyFill="1" applyBorder="1" applyAlignment="1">
      <alignment horizontal="center" vertical="center" wrapText="1"/>
    </xf>
    <xf numFmtId="0" fontId="15" fillId="2" borderId="25" xfId="0" applyNumberFormat="1" applyFont="1" applyFill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8" fillId="2" borderId="25" xfId="0" applyNumberFormat="1" applyFont="1" applyFill="1" applyBorder="1" applyAlignment="1">
      <alignment horizontal="center" vertical="center" wrapText="1"/>
    </xf>
    <xf numFmtId="0" fontId="15" fillId="0" borderId="35" xfId="3" applyFont="1" applyFill="1" applyBorder="1" applyAlignment="1">
      <alignment horizontal="right" vertical="center" wrapText="1"/>
    </xf>
    <xf numFmtId="0" fontId="15" fillId="0" borderId="49" xfId="3" applyFont="1" applyFill="1" applyBorder="1" applyAlignment="1">
      <alignment horizontal="right" vertical="center" wrapText="1"/>
    </xf>
    <xf numFmtId="14" fontId="16" fillId="0" borderId="17" xfId="0" applyNumberFormat="1" applyFont="1" applyFill="1" applyBorder="1" applyAlignment="1">
      <alignment horizontal="center" vertical="center" wrapText="1"/>
    </xf>
    <xf numFmtId="14" fontId="16" fillId="0" borderId="24" xfId="0" applyNumberFormat="1" applyFont="1" applyFill="1" applyBorder="1" applyAlignment="1">
      <alignment horizontal="center" vertical="center" wrapText="1"/>
    </xf>
    <xf numFmtId="14" fontId="16" fillId="0" borderId="22" xfId="0" applyNumberFormat="1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 shrinkToFit="1"/>
    </xf>
    <xf numFmtId="0" fontId="14" fillId="0" borderId="24" xfId="0" applyFont="1" applyBorder="1" applyAlignment="1">
      <alignment horizontal="center" vertical="center" wrapText="1" shrinkToFit="1"/>
    </xf>
    <xf numFmtId="0" fontId="14" fillId="0" borderId="22" xfId="0" applyFont="1" applyBorder="1" applyAlignment="1">
      <alignment horizontal="center" vertical="center" wrapText="1" shrinkToFit="1"/>
    </xf>
    <xf numFmtId="0" fontId="15" fillId="0" borderId="25" xfId="1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right" vertic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14" fontId="8" fillId="0" borderId="25" xfId="0" applyNumberFormat="1" applyFont="1" applyFill="1" applyBorder="1" applyAlignment="1">
      <alignment horizontal="center" vertical="center" wrapText="1"/>
    </xf>
    <xf numFmtId="0" fontId="8" fillId="2" borderId="35" xfId="0" applyNumberFormat="1" applyFont="1" applyFill="1" applyBorder="1" applyAlignment="1">
      <alignment horizontal="left" vertical="center" wrapText="1"/>
    </xf>
    <xf numFmtId="0" fontId="8" fillId="2" borderId="49" xfId="0" applyNumberFormat="1" applyFont="1" applyFill="1" applyBorder="1" applyAlignment="1">
      <alignment horizontal="left" vertical="center" wrapText="1"/>
    </xf>
    <xf numFmtId="0" fontId="8" fillId="2" borderId="50" xfId="0" applyNumberFormat="1" applyFont="1" applyFill="1" applyBorder="1" applyAlignment="1">
      <alignment horizontal="left" vertical="center" wrapText="1"/>
    </xf>
    <xf numFmtId="0" fontId="14" fillId="0" borderId="35" xfId="0" applyFont="1" applyBorder="1" applyAlignment="1">
      <alignment horizontal="center" wrapText="1"/>
    </xf>
    <xf numFmtId="0" fontId="14" fillId="0" borderId="49" xfId="0" applyFont="1" applyBorder="1" applyAlignment="1">
      <alignment horizontal="center" wrapText="1"/>
    </xf>
    <xf numFmtId="0" fontId="15" fillId="0" borderId="25" xfId="0" applyNumberFormat="1" applyFont="1" applyFill="1" applyBorder="1" applyAlignment="1">
      <alignment horizontal="right" vertical="center" wrapText="1"/>
    </xf>
    <xf numFmtId="0" fontId="16" fillId="0" borderId="17" xfId="0" applyFont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5" fillId="0" borderId="35" xfId="0" applyFont="1" applyBorder="1" applyAlignment="1">
      <alignment horizontal="left"/>
    </xf>
    <xf numFmtId="0" fontId="15" fillId="0" borderId="49" xfId="0" applyFont="1" applyBorder="1" applyAlignment="1">
      <alignment horizontal="left"/>
    </xf>
    <xf numFmtId="0" fontId="15" fillId="0" borderId="50" xfId="0" applyFont="1" applyBorder="1" applyAlignment="1">
      <alignment horizontal="left"/>
    </xf>
    <xf numFmtId="0" fontId="16" fillId="0" borderId="2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0" fontId="15" fillId="2" borderId="35" xfId="0" applyNumberFormat="1" applyFont="1" applyFill="1" applyBorder="1" applyAlignment="1">
      <alignment horizontal="center" wrapText="1"/>
    </xf>
    <xf numFmtId="0" fontId="15" fillId="2" borderId="49" xfId="0" applyNumberFormat="1" applyFont="1" applyFill="1" applyBorder="1" applyAlignment="1">
      <alignment horizontal="center" wrapText="1"/>
    </xf>
    <xf numFmtId="0" fontId="19" fillId="3" borderId="22" xfId="0" applyFont="1" applyFill="1" applyBorder="1" applyAlignment="1">
      <alignment horizontal="left" vertical="center" wrapText="1"/>
    </xf>
    <xf numFmtId="0" fontId="18" fillId="0" borderId="25" xfId="0" applyFont="1" applyBorder="1" applyAlignment="1">
      <alignment horizontal="left"/>
    </xf>
    <xf numFmtId="0" fontId="14" fillId="0" borderId="25" xfId="0" applyFont="1" applyBorder="1" applyAlignment="1">
      <alignment horizontal="right" vertical="center" wrapText="1"/>
    </xf>
    <xf numFmtId="0" fontId="15" fillId="2" borderId="25" xfId="1" applyNumberFormat="1" applyFont="1" applyFill="1" applyBorder="1" applyAlignment="1">
      <alignment horizontal="center" vertical="center" wrapText="1"/>
    </xf>
    <xf numFmtId="0" fontId="15" fillId="2" borderId="25" xfId="0" applyNumberFormat="1" applyFont="1" applyFill="1" applyBorder="1" applyAlignment="1">
      <alignment horizontal="right" vertical="center" wrapText="1"/>
    </xf>
  </cellXfs>
  <cellStyles count="4">
    <cellStyle name="Обычный" xfId="0" builtinId="0"/>
    <cellStyle name="Обычный 5" xfId="3"/>
    <cellStyle name="Обычный 6" xfId="2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workbookViewId="0">
      <selection activeCell="E2" sqref="E2"/>
    </sheetView>
  </sheetViews>
  <sheetFormatPr defaultRowHeight="15"/>
  <cols>
    <col min="1" max="1" width="16.5703125" style="3" customWidth="1"/>
    <col min="2" max="2" width="41.42578125" style="3" customWidth="1"/>
    <col min="3" max="3" width="14" style="3" customWidth="1"/>
    <col min="4" max="4" width="26.7109375" style="3" customWidth="1"/>
    <col min="5" max="5" width="12.42578125" style="3" customWidth="1"/>
    <col min="6" max="6" width="12.28515625" style="3" customWidth="1"/>
    <col min="7" max="7" width="17.140625" style="3" customWidth="1"/>
    <col min="8" max="8" width="6.85546875" style="3" customWidth="1"/>
    <col min="9" max="9" width="10.5703125" style="3" customWidth="1"/>
    <col min="10" max="10" width="29.42578125" style="3" customWidth="1"/>
    <col min="11" max="11" width="12.42578125" style="3" customWidth="1"/>
    <col min="12" max="12" width="22.5703125" style="3" customWidth="1"/>
    <col min="13" max="13" width="12" style="3" customWidth="1"/>
    <col min="14" max="14" width="16.5703125" style="3" customWidth="1"/>
    <col min="15" max="15" width="20.85546875" style="3" customWidth="1"/>
    <col min="16" max="16" width="7.42578125" style="12" customWidth="1"/>
    <col min="17" max="16384" width="9.140625" style="3"/>
  </cols>
  <sheetData>
    <row r="1" spans="1:15" ht="27" customHeight="1" thickBot="1">
      <c r="A1" s="97"/>
      <c r="B1" s="209" t="s">
        <v>2</v>
      </c>
      <c r="C1" s="210"/>
      <c r="D1" s="210"/>
      <c r="E1" s="210"/>
      <c r="F1" s="210"/>
      <c r="G1" s="211"/>
      <c r="H1" s="72"/>
      <c r="I1" s="190" t="s">
        <v>119</v>
      </c>
      <c r="J1" s="232" t="s">
        <v>182</v>
      </c>
      <c r="K1" s="233"/>
      <c r="L1" s="233"/>
      <c r="M1" s="233"/>
      <c r="N1" s="233"/>
      <c r="O1" s="234"/>
    </row>
    <row r="2" spans="1:15" ht="15.75" customHeight="1">
      <c r="A2" s="197" t="s">
        <v>181</v>
      </c>
      <c r="B2" s="212" t="s">
        <v>3</v>
      </c>
      <c r="C2" s="203" t="s">
        <v>4</v>
      </c>
      <c r="D2" s="13" t="s">
        <v>5</v>
      </c>
      <c r="E2" s="14">
        <v>635</v>
      </c>
      <c r="F2" s="15">
        <f t="shared" ref="F2:F7" si="0">E2*1.18</f>
        <v>749.3</v>
      </c>
      <c r="G2" s="16"/>
      <c r="H2" s="73"/>
      <c r="I2" s="191"/>
      <c r="J2" s="212" t="s">
        <v>6</v>
      </c>
      <c r="K2" s="235" t="s">
        <v>7</v>
      </c>
      <c r="L2" s="13" t="s">
        <v>8</v>
      </c>
      <c r="M2" s="14">
        <f>E2+E2++E9+E9+E29</f>
        <v>4411</v>
      </c>
      <c r="N2" s="17">
        <f t="shared" ref="N2:N13" si="1">M2*1.18</f>
        <v>5204.9799999999996</v>
      </c>
      <c r="O2" s="239" t="s">
        <v>124</v>
      </c>
    </row>
    <row r="3" spans="1:15" ht="15.75" customHeight="1">
      <c r="A3" s="198"/>
      <c r="B3" s="201"/>
      <c r="C3" s="204"/>
      <c r="D3" s="18" t="s">
        <v>9</v>
      </c>
      <c r="E3" s="19">
        <v>635</v>
      </c>
      <c r="F3" s="20">
        <f t="shared" si="0"/>
        <v>749.3</v>
      </c>
      <c r="G3" s="21"/>
      <c r="H3" s="73"/>
      <c r="I3" s="191"/>
      <c r="J3" s="201"/>
      <c r="K3" s="236"/>
      <c r="L3" s="22" t="s">
        <v>10</v>
      </c>
      <c r="M3" s="23">
        <f>E3+E3+E10+E10+E29</f>
        <v>5047</v>
      </c>
      <c r="N3" s="24">
        <f>M3*1.18</f>
        <v>5955.46</v>
      </c>
      <c r="O3" s="240"/>
    </row>
    <row r="4" spans="1:15" ht="15.75" thickBot="1">
      <c r="A4" s="198"/>
      <c r="B4" s="201"/>
      <c r="C4" s="204"/>
      <c r="D4" s="22" t="s">
        <v>11</v>
      </c>
      <c r="E4" s="23">
        <v>953</v>
      </c>
      <c r="F4" s="20">
        <f t="shared" si="0"/>
        <v>1124.54</v>
      </c>
      <c r="G4" s="25"/>
      <c r="H4" s="73"/>
      <c r="I4" s="191"/>
      <c r="J4" s="202"/>
      <c r="K4" s="237"/>
      <c r="L4" s="26" t="s">
        <v>12</v>
      </c>
      <c r="M4" s="27">
        <f>E4+E4+E11+E11+E30</f>
        <v>5683</v>
      </c>
      <c r="N4" s="28">
        <f t="shared" si="1"/>
        <v>6705.94</v>
      </c>
      <c r="O4" s="240"/>
    </row>
    <row r="5" spans="1:15" ht="15.75" customHeight="1">
      <c r="A5" s="198"/>
      <c r="B5" s="205" t="s">
        <v>13</v>
      </c>
      <c r="C5" s="203" t="s">
        <v>4</v>
      </c>
      <c r="D5" s="13" t="s">
        <v>14</v>
      </c>
      <c r="E5" s="29">
        <v>1173</v>
      </c>
      <c r="F5" s="15">
        <f t="shared" si="0"/>
        <v>1384.1399999999999</v>
      </c>
      <c r="G5" s="30"/>
      <c r="H5" s="73"/>
      <c r="I5" s="191"/>
      <c r="J5" s="200" t="s">
        <v>15</v>
      </c>
      <c r="K5" s="237"/>
      <c r="L5" s="13" t="s">
        <v>16</v>
      </c>
      <c r="M5" s="14">
        <f>E2+E2+E9+E9+E29</f>
        <v>4411</v>
      </c>
      <c r="N5" s="17">
        <f>M5*1.18</f>
        <v>5204.9799999999996</v>
      </c>
      <c r="O5" s="240"/>
    </row>
    <row r="6" spans="1:15">
      <c r="A6" s="198"/>
      <c r="B6" s="206"/>
      <c r="C6" s="204"/>
      <c r="D6" s="18" t="s">
        <v>17</v>
      </c>
      <c r="E6" s="31">
        <v>1173</v>
      </c>
      <c r="F6" s="20">
        <f t="shared" si="0"/>
        <v>1384.1399999999999</v>
      </c>
      <c r="G6" s="32"/>
      <c r="H6" s="73"/>
      <c r="I6" s="191"/>
      <c r="J6" s="201"/>
      <c r="K6" s="237"/>
      <c r="L6" s="22" t="s">
        <v>10</v>
      </c>
      <c r="M6" s="23">
        <f>E3+E3+E10+E10+E29</f>
        <v>5047</v>
      </c>
      <c r="N6" s="24">
        <f>M6*1.18</f>
        <v>5955.46</v>
      </c>
      <c r="O6" s="240"/>
    </row>
    <row r="7" spans="1:15" ht="15.75" thickBot="1">
      <c r="A7" s="199"/>
      <c r="B7" s="207"/>
      <c r="C7" s="208"/>
      <c r="D7" s="26" t="s">
        <v>11</v>
      </c>
      <c r="E7" s="98">
        <v>1521</v>
      </c>
      <c r="F7" s="40">
        <f t="shared" si="0"/>
        <v>1794.78</v>
      </c>
      <c r="G7" s="50"/>
      <c r="H7" s="73"/>
      <c r="I7" s="191"/>
      <c r="J7" s="202"/>
      <c r="K7" s="237"/>
      <c r="L7" s="26" t="s">
        <v>12</v>
      </c>
      <c r="M7" s="27">
        <f>E4+E4+E11+E11+E30</f>
        <v>5683</v>
      </c>
      <c r="N7" s="28">
        <f>M7*1.18</f>
        <v>6705.94</v>
      </c>
      <c r="O7" s="240"/>
    </row>
    <row r="8" spans="1:15" ht="15.75" thickBot="1">
      <c r="A8" s="190" t="s">
        <v>183</v>
      </c>
      <c r="B8" s="213" t="s">
        <v>18</v>
      </c>
      <c r="C8" s="214"/>
      <c r="D8" s="215"/>
      <c r="E8" s="215"/>
      <c r="F8" s="215"/>
      <c r="G8" s="216"/>
      <c r="H8" s="74"/>
      <c r="I8" s="191"/>
      <c r="J8" s="230" t="s">
        <v>1</v>
      </c>
      <c r="K8" s="237"/>
      <c r="L8" s="13" t="s">
        <v>16</v>
      </c>
      <c r="M8" s="14">
        <f>E5+E5+E12+E12+E31</f>
        <v>7577</v>
      </c>
      <c r="N8" s="17">
        <f t="shared" si="1"/>
        <v>8940.8599999999988</v>
      </c>
      <c r="O8" s="240"/>
    </row>
    <row r="9" spans="1:15" ht="15.75" customHeight="1">
      <c r="A9" s="191"/>
      <c r="B9" s="200" t="s">
        <v>3</v>
      </c>
      <c r="C9" s="203" t="s">
        <v>4</v>
      </c>
      <c r="D9" s="13" t="s">
        <v>19</v>
      </c>
      <c r="E9" s="14">
        <v>635</v>
      </c>
      <c r="F9" s="15">
        <f t="shared" ref="F9:F14" si="2">E9*1.18</f>
        <v>749.3</v>
      </c>
      <c r="G9" s="16"/>
      <c r="H9" s="73"/>
      <c r="I9" s="191"/>
      <c r="J9" s="219"/>
      <c r="K9" s="237"/>
      <c r="L9" s="22" t="s">
        <v>10</v>
      </c>
      <c r="M9" s="23">
        <f>E6+E6+E13+E13+E31</f>
        <v>8273</v>
      </c>
      <c r="N9" s="24">
        <f>M9*1.18</f>
        <v>9762.14</v>
      </c>
      <c r="O9" s="240"/>
    </row>
    <row r="10" spans="1:15" ht="15.75" thickBot="1">
      <c r="A10" s="191"/>
      <c r="B10" s="201"/>
      <c r="C10" s="204"/>
      <c r="D10" s="18" t="s">
        <v>20</v>
      </c>
      <c r="E10" s="23">
        <v>953</v>
      </c>
      <c r="F10" s="34">
        <f t="shared" si="2"/>
        <v>1124.54</v>
      </c>
      <c r="G10" s="25"/>
      <c r="H10" s="73"/>
      <c r="I10" s="231"/>
      <c r="J10" s="242"/>
      <c r="K10" s="237"/>
      <c r="L10" s="26" t="s">
        <v>12</v>
      </c>
      <c r="M10" s="27">
        <f>E7+E7+E14+E14+E32</f>
        <v>8969</v>
      </c>
      <c r="N10" s="28">
        <f t="shared" si="1"/>
        <v>10583.42</v>
      </c>
      <c r="O10" s="240"/>
    </row>
    <row r="11" spans="1:15" ht="15.75" thickBot="1">
      <c r="A11" s="191"/>
      <c r="B11" s="202"/>
      <c r="C11" s="204"/>
      <c r="D11" s="26" t="s">
        <v>21</v>
      </c>
      <c r="E11" s="35">
        <v>953</v>
      </c>
      <c r="F11" s="36">
        <f t="shared" si="2"/>
        <v>1124.54</v>
      </c>
      <c r="G11" s="37"/>
      <c r="H11" s="73"/>
      <c r="I11" s="198" t="s">
        <v>193</v>
      </c>
      <c r="J11" s="243" t="s">
        <v>22</v>
      </c>
      <c r="K11" s="237"/>
      <c r="L11" s="13" t="s">
        <v>16</v>
      </c>
      <c r="M11" s="14">
        <f>E16+E16+E20+E20</f>
        <v>3804</v>
      </c>
      <c r="N11" s="17">
        <f t="shared" si="1"/>
        <v>4488.7199999999993</v>
      </c>
      <c r="O11" s="240"/>
    </row>
    <row r="12" spans="1:15" ht="15.75" customHeight="1">
      <c r="A12" s="191"/>
      <c r="B12" s="205" t="s">
        <v>13</v>
      </c>
      <c r="C12" s="203" t="s">
        <v>4</v>
      </c>
      <c r="D12" s="13" t="s">
        <v>19</v>
      </c>
      <c r="E12" s="29">
        <v>1173</v>
      </c>
      <c r="F12" s="15">
        <f t="shared" si="2"/>
        <v>1384.1399999999999</v>
      </c>
      <c r="G12" s="38"/>
      <c r="H12" s="73"/>
      <c r="I12" s="191"/>
      <c r="J12" s="244"/>
      <c r="K12" s="237"/>
      <c r="L12" s="22" t="s">
        <v>10</v>
      </c>
      <c r="M12" s="23">
        <f>E17+E17+E21+E21</f>
        <v>4366</v>
      </c>
      <c r="N12" s="24">
        <f>M12*1.18</f>
        <v>5151.88</v>
      </c>
      <c r="O12" s="240"/>
    </row>
    <row r="13" spans="1:15" ht="19.5" customHeight="1" thickBot="1">
      <c r="A13" s="191"/>
      <c r="B13" s="206"/>
      <c r="C13" s="204"/>
      <c r="D13" s="18" t="s">
        <v>20</v>
      </c>
      <c r="E13" s="31">
        <v>1521</v>
      </c>
      <c r="F13" s="20">
        <f t="shared" si="2"/>
        <v>1794.78</v>
      </c>
      <c r="G13" s="25"/>
      <c r="H13" s="73"/>
      <c r="I13" s="192"/>
      <c r="J13" s="245"/>
      <c r="K13" s="238"/>
      <c r="L13" s="26" t="s">
        <v>12</v>
      </c>
      <c r="M13" s="27">
        <f>E18+E18+E22+E22</f>
        <v>4928</v>
      </c>
      <c r="N13" s="28">
        <f t="shared" si="1"/>
        <v>5815.04</v>
      </c>
      <c r="O13" s="241"/>
    </row>
    <row r="14" spans="1:15" ht="22.5" customHeight="1" thickBot="1">
      <c r="A14" s="192"/>
      <c r="B14" s="207"/>
      <c r="C14" s="208"/>
      <c r="D14" s="26" t="s">
        <v>21</v>
      </c>
      <c r="E14" s="39">
        <v>1521</v>
      </c>
      <c r="F14" s="40">
        <f t="shared" si="2"/>
        <v>1794.78</v>
      </c>
      <c r="G14" s="41"/>
      <c r="H14" s="73"/>
      <c r="I14" s="66"/>
      <c r="J14" s="69"/>
      <c r="K14" s="69"/>
      <c r="L14" s="69"/>
      <c r="M14" s="69"/>
      <c r="N14" s="69"/>
      <c r="O14" s="69"/>
    </row>
    <row r="15" spans="1:15" ht="16.5" customHeight="1" thickBot="1">
      <c r="A15" s="190" t="s">
        <v>184</v>
      </c>
      <c r="B15" s="217" t="s">
        <v>23</v>
      </c>
      <c r="C15" s="215"/>
      <c r="D15" s="215"/>
      <c r="E15" s="215"/>
      <c r="F15" s="215"/>
      <c r="G15" s="216"/>
      <c r="H15" s="74"/>
      <c r="I15" s="190" t="s">
        <v>119</v>
      </c>
      <c r="J15" s="232" t="s">
        <v>118</v>
      </c>
      <c r="K15" s="233"/>
      <c r="L15" s="233"/>
      <c r="M15" s="233"/>
      <c r="N15" s="233"/>
      <c r="O15" s="234"/>
    </row>
    <row r="16" spans="1:15" ht="15.75" customHeight="1">
      <c r="A16" s="191"/>
      <c r="B16" s="218" t="s">
        <v>22</v>
      </c>
      <c r="C16" s="203" t="s">
        <v>4</v>
      </c>
      <c r="D16" s="42" t="s">
        <v>24</v>
      </c>
      <c r="E16" s="29">
        <v>951</v>
      </c>
      <c r="F16" s="15">
        <f>E16*1.18</f>
        <v>1122.1799999999998</v>
      </c>
      <c r="G16" s="30"/>
      <c r="H16" s="73"/>
      <c r="I16" s="191"/>
      <c r="J16" s="212" t="s">
        <v>6</v>
      </c>
      <c r="K16" s="235" t="s">
        <v>7</v>
      </c>
      <c r="L16" s="13" t="s">
        <v>8</v>
      </c>
      <c r="M16" s="14">
        <f>M2+E24</f>
        <v>5000</v>
      </c>
      <c r="N16" s="17">
        <f t="shared" ref="N16:N27" si="3">M16*1.18</f>
        <v>5900</v>
      </c>
      <c r="O16" s="239" t="s">
        <v>123</v>
      </c>
    </row>
    <row r="17" spans="1:15">
      <c r="A17" s="191"/>
      <c r="B17" s="219"/>
      <c r="C17" s="204"/>
      <c r="D17" s="43" t="s">
        <v>25</v>
      </c>
      <c r="E17" s="179">
        <v>951</v>
      </c>
      <c r="F17" s="44">
        <f>E17*1.18</f>
        <v>1122.1799999999998</v>
      </c>
      <c r="G17" s="25"/>
      <c r="H17" s="73"/>
      <c r="I17" s="191"/>
      <c r="J17" s="201"/>
      <c r="K17" s="236"/>
      <c r="L17" s="22" t="s">
        <v>10</v>
      </c>
      <c r="M17" s="23">
        <f>M3+E24</f>
        <v>5636</v>
      </c>
      <c r="N17" s="24">
        <f t="shared" si="3"/>
        <v>6650.48</v>
      </c>
      <c r="O17" s="240"/>
    </row>
    <row r="18" spans="1:15" ht="15.75" thickBot="1">
      <c r="A18" s="192"/>
      <c r="B18" s="220"/>
      <c r="C18" s="208"/>
      <c r="D18" s="26" t="s">
        <v>26</v>
      </c>
      <c r="E18" s="39">
        <v>1232</v>
      </c>
      <c r="F18" s="49">
        <f>E18*1.18</f>
        <v>1453.76</v>
      </c>
      <c r="G18" s="50"/>
      <c r="H18" s="73"/>
      <c r="I18" s="191"/>
      <c r="J18" s="202"/>
      <c r="K18" s="237"/>
      <c r="L18" s="26" t="s">
        <v>12</v>
      </c>
      <c r="M18" s="27">
        <f>M4+E24</f>
        <v>6272</v>
      </c>
      <c r="N18" s="28">
        <f t="shared" si="3"/>
        <v>7400.96</v>
      </c>
      <c r="O18" s="240"/>
    </row>
    <row r="19" spans="1:15" ht="19.5" customHeight="1" thickBot="1">
      <c r="A19" s="258" t="s">
        <v>185</v>
      </c>
      <c r="B19" s="217" t="s">
        <v>27</v>
      </c>
      <c r="C19" s="215"/>
      <c r="D19" s="215"/>
      <c r="E19" s="215"/>
      <c r="F19" s="215"/>
      <c r="G19" s="216"/>
      <c r="H19" s="74"/>
      <c r="I19" s="191"/>
      <c r="J19" s="200" t="s">
        <v>15</v>
      </c>
      <c r="K19" s="237"/>
      <c r="L19" s="13" t="s">
        <v>16</v>
      </c>
      <c r="M19" s="14">
        <f>M5+E25</f>
        <v>5304</v>
      </c>
      <c r="N19" s="17">
        <f t="shared" si="3"/>
        <v>6258.7199999999993</v>
      </c>
      <c r="O19" s="240"/>
    </row>
    <row r="20" spans="1:15" ht="15.75" customHeight="1">
      <c r="A20" s="259"/>
      <c r="B20" s="218" t="s">
        <v>22</v>
      </c>
      <c r="C20" s="221" t="s">
        <v>28</v>
      </c>
      <c r="D20" s="46" t="s">
        <v>24</v>
      </c>
      <c r="E20" s="29">
        <v>951</v>
      </c>
      <c r="F20" s="15">
        <f>E20*1.18</f>
        <v>1122.1799999999998</v>
      </c>
      <c r="G20" s="30"/>
      <c r="H20" s="73"/>
      <c r="I20" s="191"/>
      <c r="J20" s="201"/>
      <c r="K20" s="237"/>
      <c r="L20" s="22" t="s">
        <v>10</v>
      </c>
      <c r="M20" s="23">
        <f>M6+E25</f>
        <v>5940</v>
      </c>
      <c r="N20" s="24">
        <f t="shared" si="3"/>
        <v>7009.2</v>
      </c>
      <c r="O20" s="240"/>
    </row>
    <row r="21" spans="1:15" ht="18" customHeight="1" thickBot="1">
      <c r="A21" s="259"/>
      <c r="B21" s="219"/>
      <c r="C21" s="222"/>
      <c r="D21" s="47" t="s">
        <v>25</v>
      </c>
      <c r="E21" s="179">
        <v>1232</v>
      </c>
      <c r="F21" s="44">
        <f>E21*1.18</f>
        <v>1453.76</v>
      </c>
      <c r="G21" s="25"/>
      <c r="H21" s="73"/>
      <c r="I21" s="191"/>
      <c r="J21" s="202"/>
      <c r="K21" s="237"/>
      <c r="L21" s="26" t="s">
        <v>12</v>
      </c>
      <c r="M21" s="27">
        <f>M7+E25</f>
        <v>6576</v>
      </c>
      <c r="N21" s="28">
        <f t="shared" si="3"/>
        <v>7759.6799999999994</v>
      </c>
      <c r="O21" s="240"/>
    </row>
    <row r="22" spans="1:15" ht="15.75" customHeight="1" thickBot="1">
      <c r="A22" s="260"/>
      <c r="B22" s="220"/>
      <c r="C22" s="223"/>
      <c r="D22" s="48" t="s">
        <v>26</v>
      </c>
      <c r="E22" s="39">
        <v>1232</v>
      </c>
      <c r="F22" s="49">
        <f>E22*1.18</f>
        <v>1453.76</v>
      </c>
      <c r="G22" s="50"/>
      <c r="H22" s="73"/>
      <c r="I22" s="191"/>
      <c r="J22" s="230" t="s">
        <v>1</v>
      </c>
      <c r="K22" s="237"/>
      <c r="L22" s="13" t="s">
        <v>16</v>
      </c>
      <c r="M22" s="14">
        <f>M8+E26</f>
        <v>8201</v>
      </c>
      <c r="N22" s="17">
        <f t="shared" si="3"/>
        <v>9677.18</v>
      </c>
      <c r="O22" s="240"/>
    </row>
    <row r="23" spans="1:15">
      <c r="A23" s="190" t="s">
        <v>186</v>
      </c>
      <c r="B23" s="224" t="s">
        <v>29</v>
      </c>
      <c r="C23" s="225"/>
      <c r="D23" s="225"/>
      <c r="E23" s="225"/>
      <c r="F23" s="225"/>
      <c r="G23" s="226"/>
      <c r="H23" s="63"/>
      <c r="I23" s="191"/>
      <c r="J23" s="219"/>
      <c r="K23" s="237"/>
      <c r="L23" s="22" t="s">
        <v>10</v>
      </c>
      <c r="M23" s="23">
        <f>M9+E26</f>
        <v>8897</v>
      </c>
      <c r="N23" s="24">
        <f t="shared" si="3"/>
        <v>10498.46</v>
      </c>
      <c r="O23" s="240"/>
    </row>
    <row r="24" spans="1:15" ht="15.75" thickBot="1">
      <c r="A24" s="191"/>
      <c r="B24" s="200" t="s">
        <v>3</v>
      </c>
      <c r="C24" s="227" t="s">
        <v>30</v>
      </c>
      <c r="D24" s="51" t="s">
        <v>31</v>
      </c>
      <c r="E24" s="52">
        <v>589</v>
      </c>
      <c r="F24" s="53">
        <f>E24*1.18</f>
        <v>695.02</v>
      </c>
      <c r="G24" s="54" t="s">
        <v>32</v>
      </c>
      <c r="H24" s="64"/>
      <c r="I24" s="231"/>
      <c r="J24" s="242"/>
      <c r="K24" s="237"/>
      <c r="L24" s="26" t="s">
        <v>12</v>
      </c>
      <c r="M24" s="27">
        <f>M10+E26</f>
        <v>9593</v>
      </c>
      <c r="N24" s="28">
        <f t="shared" si="3"/>
        <v>11319.74</v>
      </c>
      <c r="O24" s="240"/>
    </row>
    <row r="25" spans="1:15">
      <c r="A25" s="191"/>
      <c r="B25" s="202"/>
      <c r="C25" s="228"/>
      <c r="D25" s="51" t="s">
        <v>31</v>
      </c>
      <c r="E25" s="52">
        <v>893</v>
      </c>
      <c r="F25" s="53">
        <f>E25*1.18</f>
        <v>1053.74</v>
      </c>
      <c r="G25" s="55" t="s">
        <v>33</v>
      </c>
      <c r="H25" s="64"/>
      <c r="I25" s="246" t="s">
        <v>194</v>
      </c>
      <c r="J25" s="243" t="s">
        <v>22</v>
      </c>
      <c r="K25" s="237"/>
      <c r="L25" s="13" t="s">
        <v>16</v>
      </c>
      <c r="M25" s="14">
        <f>M11+E26</f>
        <v>4428</v>
      </c>
      <c r="N25" s="17">
        <f t="shared" si="3"/>
        <v>5225.04</v>
      </c>
      <c r="O25" s="240"/>
    </row>
    <row r="26" spans="1:15">
      <c r="A26" s="191"/>
      <c r="B26" s="230" t="s">
        <v>34</v>
      </c>
      <c r="C26" s="228"/>
      <c r="D26" s="51" t="s">
        <v>31</v>
      </c>
      <c r="E26" s="52">
        <v>624</v>
      </c>
      <c r="F26" s="53">
        <f>E26*1.18</f>
        <v>736.31999999999994</v>
      </c>
      <c r="G26" s="54" t="s">
        <v>32</v>
      </c>
      <c r="H26" s="64"/>
      <c r="I26" s="191"/>
      <c r="J26" s="244"/>
      <c r="K26" s="237"/>
      <c r="L26" s="22" t="s">
        <v>10</v>
      </c>
      <c r="M26" s="23">
        <f>M12+E26</f>
        <v>4990</v>
      </c>
      <c r="N26" s="24">
        <f t="shared" si="3"/>
        <v>5888.2</v>
      </c>
      <c r="O26" s="240"/>
    </row>
    <row r="27" spans="1:15" ht="15.75" thickBot="1">
      <c r="A27" s="192"/>
      <c r="B27" s="220"/>
      <c r="C27" s="229"/>
      <c r="D27" s="56" t="s">
        <v>31</v>
      </c>
      <c r="E27" s="57">
        <v>921</v>
      </c>
      <c r="F27" s="58">
        <f>E27*1.18</f>
        <v>1086.78</v>
      </c>
      <c r="G27" s="59" t="s">
        <v>33</v>
      </c>
      <c r="H27" s="64"/>
      <c r="I27" s="192"/>
      <c r="J27" s="245"/>
      <c r="K27" s="238"/>
      <c r="L27" s="26" t="s">
        <v>12</v>
      </c>
      <c r="M27" s="27">
        <f>M13+E26</f>
        <v>5552</v>
      </c>
      <c r="N27" s="28">
        <f t="shared" si="3"/>
        <v>6551.36</v>
      </c>
      <c r="O27" s="241"/>
    </row>
    <row r="28" spans="1:15" ht="15.75" customHeight="1" thickBot="1">
      <c r="A28" s="190" t="s">
        <v>187</v>
      </c>
      <c r="B28" s="92" t="s">
        <v>36</v>
      </c>
      <c r="C28" s="91"/>
      <c r="D28" s="91"/>
      <c r="E28" s="91"/>
      <c r="F28" s="91"/>
      <c r="G28" s="93"/>
      <c r="H28" s="74"/>
      <c r="I28" s="66"/>
      <c r="J28" s="66"/>
      <c r="K28" s="66"/>
      <c r="L28" s="64"/>
      <c r="M28" s="45"/>
      <c r="N28" s="65"/>
      <c r="O28" s="68"/>
    </row>
    <row r="29" spans="1:15" ht="15.75" customHeight="1" thickBot="1">
      <c r="A29" s="191"/>
      <c r="B29" s="193" t="s">
        <v>3</v>
      </c>
      <c r="C29" s="227" t="s">
        <v>7</v>
      </c>
      <c r="D29" s="51" t="s">
        <v>35</v>
      </c>
      <c r="E29" s="62">
        <v>1871</v>
      </c>
      <c r="F29" s="20">
        <f>E29*1.18</f>
        <v>2207.7799999999997</v>
      </c>
      <c r="G29" s="54"/>
      <c r="H29" s="73"/>
      <c r="I29" s="190" t="s">
        <v>119</v>
      </c>
      <c r="J29" s="232" t="s">
        <v>121</v>
      </c>
      <c r="K29" s="233"/>
      <c r="L29" s="233"/>
      <c r="M29" s="233"/>
      <c r="N29" s="233"/>
      <c r="O29" s="234"/>
    </row>
    <row r="30" spans="1:15" ht="15.75" customHeight="1">
      <c r="A30" s="191"/>
      <c r="B30" s="194"/>
      <c r="C30" s="228"/>
      <c r="D30" s="60" t="s">
        <v>12</v>
      </c>
      <c r="E30" s="62">
        <v>1871</v>
      </c>
      <c r="F30" s="34">
        <f>E30*1.18</f>
        <v>2207.7799999999997</v>
      </c>
      <c r="G30" s="55"/>
      <c r="H30" s="73"/>
      <c r="I30" s="191"/>
      <c r="J30" s="212" t="s">
        <v>6</v>
      </c>
      <c r="K30" s="235" t="s">
        <v>7</v>
      </c>
      <c r="L30" s="13" t="s">
        <v>8</v>
      </c>
      <c r="M30" s="14">
        <f>M2</f>
        <v>4411</v>
      </c>
      <c r="N30" s="17">
        <f t="shared" ref="N30:N41" si="4">M30*1.18</f>
        <v>5204.9799999999996</v>
      </c>
      <c r="O30" s="239" t="s">
        <v>124</v>
      </c>
    </row>
    <row r="31" spans="1:15">
      <c r="A31" s="191"/>
      <c r="B31" s="195" t="s">
        <v>126</v>
      </c>
      <c r="C31" s="228"/>
      <c r="D31" s="60" t="s">
        <v>35</v>
      </c>
      <c r="E31" s="62">
        <v>2885</v>
      </c>
      <c r="F31" s="34">
        <f>E31*1.18</f>
        <v>3404.2999999999997</v>
      </c>
      <c r="G31" s="55"/>
      <c r="H31" s="73"/>
      <c r="I31" s="191"/>
      <c r="J31" s="201"/>
      <c r="K31" s="236"/>
      <c r="L31" s="22" t="s">
        <v>10</v>
      </c>
      <c r="M31" s="23">
        <f t="shared" ref="M31:M41" si="5">M3</f>
        <v>5047</v>
      </c>
      <c r="N31" s="24">
        <f t="shared" si="4"/>
        <v>5955.46</v>
      </c>
      <c r="O31" s="240"/>
    </row>
    <row r="32" spans="1:15" ht="18.75" customHeight="1" thickBot="1">
      <c r="A32" s="192"/>
      <c r="B32" s="196"/>
      <c r="C32" s="229"/>
      <c r="D32" s="61" t="s">
        <v>12</v>
      </c>
      <c r="E32" s="71">
        <v>2885</v>
      </c>
      <c r="F32" s="49">
        <f>E32*1.18</f>
        <v>3404.2999999999997</v>
      </c>
      <c r="G32" s="37"/>
      <c r="H32" s="73"/>
      <c r="I32" s="191"/>
      <c r="J32" s="202"/>
      <c r="K32" s="237"/>
      <c r="L32" s="26" t="s">
        <v>12</v>
      </c>
      <c r="M32" s="27">
        <f t="shared" si="5"/>
        <v>5683</v>
      </c>
      <c r="N32" s="28">
        <f t="shared" si="4"/>
        <v>6705.94</v>
      </c>
      <c r="O32" s="240"/>
    </row>
    <row r="33" spans="1:15" ht="15.75" customHeight="1" thickBot="1">
      <c r="A33" s="197" t="s">
        <v>188</v>
      </c>
      <c r="B33" s="209" t="s">
        <v>2</v>
      </c>
      <c r="C33" s="210"/>
      <c r="D33" s="210"/>
      <c r="E33" s="210"/>
      <c r="F33" s="210"/>
      <c r="G33" s="211"/>
      <c r="H33" s="70"/>
      <c r="I33" s="191"/>
      <c r="J33" s="200" t="s">
        <v>15</v>
      </c>
      <c r="K33" s="237"/>
      <c r="L33" s="13" t="s">
        <v>16</v>
      </c>
      <c r="M33" s="14">
        <f t="shared" si="5"/>
        <v>4411</v>
      </c>
      <c r="N33" s="17">
        <f t="shared" si="4"/>
        <v>5204.9799999999996</v>
      </c>
      <c r="O33" s="240"/>
    </row>
    <row r="34" spans="1:15" ht="21.75" customHeight="1">
      <c r="A34" s="198"/>
      <c r="B34" s="267" t="s">
        <v>103</v>
      </c>
      <c r="C34" s="255" t="s">
        <v>4</v>
      </c>
      <c r="D34" s="13" t="s">
        <v>5</v>
      </c>
      <c r="E34" s="14">
        <v>635</v>
      </c>
      <c r="F34" s="15">
        <f t="shared" ref="F34:F39" si="6">E34*1.18</f>
        <v>749.3</v>
      </c>
      <c r="G34" s="16"/>
      <c r="H34" s="70"/>
      <c r="I34" s="191"/>
      <c r="J34" s="201"/>
      <c r="K34" s="237"/>
      <c r="L34" s="22" t="s">
        <v>10</v>
      </c>
      <c r="M34" s="23">
        <f t="shared" si="5"/>
        <v>5047</v>
      </c>
      <c r="N34" s="24">
        <f t="shared" si="4"/>
        <v>5955.46</v>
      </c>
      <c r="O34" s="240"/>
    </row>
    <row r="35" spans="1:15" ht="15.75" thickBot="1">
      <c r="A35" s="198"/>
      <c r="B35" s="265"/>
      <c r="C35" s="256"/>
      <c r="D35" s="18" t="s">
        <v>9</v>
      </c>
      <c r="E35" s="19">
        <v>635</v>
      </c>
      <c r="F35" s="20">
        <f t="shared" si="6"/>
        <v>749.3</v>
      </c>
      <c r="G35" s="21"/>
      <c r="H35" s="70"/>
      <c r="I35" s="191"/>
      <c r="J35" s="202"/>
      <c r="K35" s="237"/>
      <c r="L35" s="26" t="s">
        <v>12</v>
      </c>
      <c r="M35" s="27">
        <f t="shared" si="5"/>
        <v>5683</v>
      </c>
      <c r="N35" s="28">
        <f t="shared" si="4"/>
        <v>6705.94</v>
      </c>
      <c r="O35" s="240"/>
    </row>
    <row r="36" spans="1:15" ht="15" customHeight="1" thickBot="1">
      <c r="A36" s="198"/>
      <c r="B36" s="266"/>
      <c r="C36" s="257"/>
      <c r="D36" s="22" t="s">
        <v>11</v>
      </c>
      <c r="E36" s="23">
        <v>953</v>
      </c>
      <c r="F36" s="20">
        <f t="shared" si="6"/>
        <v>1124.54</v>
      </c>
      <c r="G36" s="25"/>
      <c r="H36" s="63"/>
      <c r="I36" s="191"/>
      <c r="J36" s="230" t="s">
        <v>1</v>
      </c>
      <c r="K36" s="237"/>
      <c r="L36" s="13" t="s">
        <v>16</v>
      </c>
      <c r="M36" s="14">
        <f t="shared" si="5"/>
        <v>7577</v>
      </c>
      <c r="N36" s="17">
        <f t="shared" si="4"/>
        <v>8940.8599999999988</v>
      </c>
      <c r="O36" s="240"/>
    </row>
    <row r="37" spans="1:15" ht="15" customHeight="1">
      <c r="A37" s="198"/>
      <c r="B37" s="264" t="s">
        <v>0</v>
      </c>
      <c r="C37" s="255" t="s">
        <v>4</v>
      </c>
      <c r="D37" s="13" t="s">
        <v>14</v>
      </c>
      <c r="E37" s="29">
        <v>1173</v>
      </c>
      <c r="F37" s="15">
        <f t="shared" si="6"/>
        <v>1384.1399999999999</v>
      </c>
      <c r="G37" s="30"/>
      <c r="H37" s="64"/>
      <c r="I37" s="191"/>
      <c r="J37" s="219"/>
      <c r="K37" s="237"/>
      <c r="L37" s="22" t="s">
        <v>10</v>
      </c>
      <c r="M37" s="23">
        <f t="shared" si="5"/>
        <v>8273</v>
      </c>
      <c r="N37" s="24">
        <f t="shared" si="4"/>
        <v>9762.14</v>
      </c>
      <c r="O37" s="240"/>
    </row>
    <row r="38" spans="1:15" ht="15.75" thickBot="1">
      <c r="A38" s="198"/>
      <c r="B38" s="265"/>
      <c r="C38" s="256"/>
      <c r="D38" s="18" t="s">
        <v>17</v>
      </c>
      <c r="E38" s="31">
        <v>1173</v>
      </c>
      <c r="F38" s="20">
        <f t="shared" si="6"/>
        <v>1384.1399999999999</v>
      </c>
      <c r="G38" s="32"/>
      <c r="H38" s="64"/>
      <c r="I38" s="191"/>
      <c r="J38" s="242"/>
      <c r="K38" s="237"/>
      <c r="L38" s="26" t="s">
        <v>12</v>
      </c>
      <c r="M38" s="27">
        <f t="shared" si="5"/>
        <v>8969</v>
      </c>
      <c r="N38" s="28">
        <f t="shared" si="4"/>
        <v>10583.42</v>
      </c>
      <c r="O38" s="240"/>
    </row>
    <row r="39" spans="1:15" ht="15.75" thickBot="1">
      <c r="A39" s="199"/>
      <c r="B39" s="266"/>
      <c r="C39" s="257"/>
      <c r="D39" s="22" t="s">
        <v>11</v>
      </c>
      <c r="E39" s="176">
        <v>1521</v>
      </c>
      <c r="F39" s="20">
        <f t="shared" si="6"/>
        <v>1794.78</v>
      </c>
      <c r="G39" s="33"/>
      <c r="H39" s="64"/>
      <c r="I39" s="191"/>
      <c r="J39" s="243" t="s">
        <v>22</v>
      </c>
      <c r="K39" s="237"/>
      <c r="L39" s="13" t="s">
        <v>16</v>
      </c>
      <c r="M39" s="14">
        <f>M11</f>
        <v>3804</v>
      </c>
      <c r="N39" s="17">
        <f t="shared" si="4"/>
        <v>4488.7199999999993</v>
      </c>
      <c r="O39" s="240"/>
    </row>
    <row r="40" spans="1:15" ht="21" customHeight="1" thickBot="1">
      <c r="A40" s="190" t="s">
        <v>188</v>
      </c>
      <c r="B40" s="217" t="s">
        <v>18</v>
      </c>
      <c r="C40" s="215"/>
      <c r="D40" s="215"/>
      <c r="E40" s="215"/>
      <c r="F40" s="215"/>
      <c r="G40" s="216"/>
      <c r="H40" s="73"/>
      <c r="I40" s="191"/>
      <c r="J40" s="244"/>
      <c r="K40" s="237"/>
      <c r="L40" s="22" t="s">
        <v>10</v>
      </c>
      <c r="M40" s="23">
        <f t="shared" si="5"/>
        <v>4366</v>
      </c>
      <c r="N40" s="24">
        <f t="shared" si="4"/>
        <v>5151.88</v>
      </c>
      <c r="O40" s="240"/>
    </row>
    <row r="41" spans="1:15" ht="18.75" customHeight="1" thickBot="1">
      <c r="A41" s="191"/>
      <c r="B41" s="267" t="s">
        <v>103</v>
      </c>
      <c r="C41" s="255" t="s">
        <v>4</v>
      </c>
      <c r="D41" s="13" t="s">
        <v>19</v>
      </c>
      <c r="E41" s="14">
        <v>635</v>
      </c>
      <c r="F41" s="15">
        <f t="shared" ref="F41:F46" si="7">E41*1.18</f>
        <v>749.3</v>
      </c>
      <c r="G41" s="16"/>
      <c r="H41" s="63"/>
      <c r="I41" s="192"/>
      <c r="J41" s="245"/>
      <c r="K41" s="238"/>
      <c r="L41" s="26" t="s">
        <v>12</v>
      </c>
      <c r="M41" s="27">
        <f t="shared" si="5"/>
        <v>4928</v>
      </c>
      <c r="N41" s="28">
        <f t="shared" si="4"/>
        <v>5815.04</v>
      </c>
      <c r="O41" s="241"/>
    </row>
    <row r="42" spans="1:15" ht="15.75" thickBot="1">
      <c r="A42" s="191"/>
      <c r="B42" s="265"/>
      <c r="C42" s="256"/>
      <c r="D42" s="18" t="s">
        <v>20</v>
      </c>
      <c r="E42" s="23">
        <v>953</v>
      </c>
      <c r="F42" s="34">
        <f t="shared" si="7"/>
        <v>1124.54</v>
      </c>
      <c r="G42" s="25"/>
      <c r="H42" s="67"/>
    </row>
    <row r="43" spans="1:15" ht="29.25" customHeight="1" thickBot="1">
      <c r="A43" s="191"/>
      <c r="B43" s="266"/>
      <c r="C43" s="257"/>
      <c r="D43" s="26" t="s">
        <v>21</v>
      </c>
      <c r="E43" s="35">
        <v>953</v>
      </c>
      <c r="F43" s="36">
        <f t="shared" si="7"/>
        <v>1124.54</v>
      </c>
      <c r="G43" s="37"/>
      <c r="H43" s="67"/>
      <c r="I43" s="261" t="s">
        <v>119</v>
      </c>
      <c r="J43" s="232" t="s">
        <v>122</v>
      </c>
      <c r="K43" s="233"/>
      <c r="L43" s="233"/>
      <c r="M43" s="233"/>
      <c r="N43" s="233"/>
      <c r="O43" s="234"/>
    </row>
    <row r="44" spans="1:15" ht="26.25" customHeight="1">
      <c r="A44" s="191"/>
      <c r="B44" s="264" t="s">
        <v>0</v>
      </c>
      <c r="C44" s="255" t="s">
        <v>4</v>
      </c>
      <c r="D44" s="13" t="s">
        <v>19</v>
      </c>
      <c r="E44" s="29">
        <v>1173</v>
      </c>
      <c r="F44" s="15">
        <f t="shared" si="7"/>
        <v>1384.1399999999999</v>
      </c>
      <c r="G44" s="38"/>
      <c r="I44" s="262"/>
      <c r="J44" s="252" t="s">
        <v>105</v>
      </c>
      <c r="K44" s="249" t="s">
        <v>7</v>
      </c>
      <c r="L44" s="13" t="s">
        <v>8</v>
      </c>
      <c r="M44" s="14">
        <f>E34+E34+E41+E41+E48</f>
        <v>4162</v>
      </c>
      <c r="N44" s="17">
        <f t="shared" ref="N44:N49" si="8">M44*1.18</f>
        <v>4911.16</v>
      </c>
      <c r="O44" s="239" t="s">
        <v>125</v>
      </c>
    </row>
    <row r="45" spans="1:15" ht="15.75" customHeight="1">
      <c r="A45" s="191"/>
      <c r="B45" s="265"/>
      <c r="C45" s="256"/>
      <c r="D45" s="18" t="s">
        <v>20</v>
      </c>
      <c r="E45" s="31">
        <v>1521</v>
      </c>
      <c r="F45" s="20">
        <f t="shared" si="7"/>
        <v>1794.78</v>
      </c>
      <c r="G45" s="25"/>
      <c r="I45" s="262"/>
      <c r="J45" s="253"/>
      <c r="K45" s="250"/>
      <c r="L45" s="22" t="s">
        <v>10</v>
      </c>
      <c r="M45" s="23">
        <f>E35+E35+E42+E42+E48</f>
        <v>4798</v>
      </c>
      <c r="N45" s="24">
        <f t="shared" si="8"/>
        <v>5661.6399999999994</v>
      </c>
      <c r="O45" s="240"/>
    </row>
    <row r="46" spans="1:15" ht="17.25" customHeight="1" thickBot="1">
      <c r="A46" s="192"/>
      <c r="B46" s="266"/>
      <c r="C46" s="257"/>
      <c r="D46" s="75" t="s">
        <v>21</v>
      </c>
      <c r="E46" s="175">
        <v>1521</v>
      </c>
      <c r="F46" s="76">
        <f t="shared" si="7"/>
        <v>1794.78</v>
      </c>
      <c r="G46" s="77"/>
      <c r="I46" s="262"/>
      <c r="J46" s="254"/>
      <c r="K46" s="250"/>
      <c r="L46" s="26" t="s">
        <v>12</v>
      </c>
      <c r="M46" s="27">
        <f>E36+E36+E43+E43+E48</f>
        <v>5434</v>
      </c>
      <c r="N46" s="28">
        <f t="shared" si="8"/>
        <v>6412.12</v>
      </c>
      <c r="O46" s="240"/>
    </row>
    <row r="47" spans="1:15">
      <c r="A47" s="268" t="s">
        <v>166</v>
      </c>
      <c r="B47" s="94" t="s">
        <v>120</v>
      </c>
      <c r="C47" s="95"/>
      <c r="D47" s="95"/>
      <c r="E47" s="95"/>
      <c r="F47" s="95"/>
      <c r="G47" s="96"/>
      <c r="I47" s="262"/>
      <c r="J47" s="247" t="s">
        <v>104</v>
      </c>
      <c r="K47" s="250"/>
      <c r="L47" s="13" t="s">
        <v>16</v>
      </c>
      <c r="M47" s="14">
        <f>E37+E37+E44+E44+E49</f>
        <v>6314</v>
      </c>
      <c r="N47" s="17">
        <f t="shared" si="8"/>
        <v>7450.5199999999995</v>
      </c>
      <c r="O47" s="240"/>
    </row>
    <row r="48" spans="1:15" ht="15" customHeight="1">
      <c r="A48" s="269"/>
      <c r="B48" s="84" t="s">
        <v>105</v>
      </c>
      <c r="C48" s="90" t="s">
        <v>7</v>
      </c>
      <c r="D48" s="6" t="s">
        <v>31</v>
      </c>
      <c r="E48" s="9">
        <v>1622</v>
      </c>
      <c r="F48" s="10">
        <f t="shared" ref="F48" si="9">E48*1.18</f>
        <v>1913.9599999999998</v>
      </c>
      <c r="G48" s="78"/>
      <c r="I48" s="262"/>
      <c r="J48" s="247"/>
      <c r="K48" s="250"/>
      <c r="L48" s="22" t="s">
        <v>10</v>
      </c>
      <c r="M48" s="23">
        <f>E38+E38+E45+E45+E49</f>
        <v>7010</v>
      </c>
      <c r="N48" s="24">
        <f t="shared" si="8"/>
        <v>8271.7999999999993</v>
      </c>
      <c r="O48" s="240"/>
    </row>
    <row r="49" spans="1:15" ht="26.25" thickBot="1">
      <c r="A49" s="270"/>
      <c r="B49" s="85" t="s">
        <v>106</v>
      </c>
      <c r="C49" s="79" t="s">
        <v>7</v>
      </c>
      <c r="D49" s="80" t="s">
        <v>31</v>
      </c>
      <c r="E49" s="81">
        <v>1622</v>
      </c>
      <c r="F49" s="82">
        <f>E49*1.18</f>
        <v>1913.9599999999998</v>
      </c>
      <c r="G49" s="83"/>
      <c r="I49" s="263"/>
      <c r="J49" s="248"/>
      <c r="K49" s="251"/>
      <c r="L49" s="26" t="s">
        <v>12</v>
      </c>
      <c r="M49" s="27">
        <f>E39+E39+E46+E46+E49</f>
        <v>7706</v>
      </c>
      <c r="N49" s="28">
        <f t="shared" si="8"/>
        <v>9093.08</v>
      </c>
      <c r="O49" s="241"/>
    </row>
    <row r="50" spans="1:15">
      <c r="I50" s="67"/>
      <c r="J50" s="88"/>
      <c r="K50" s="86"/>
      <c r="L50" s="64"/>
      <c r="M50" s="45"/>
      <c r="N50" s="65"/>
      <c r="O50" s="87"/>
    </row>
    <row r="51" spans="1:15" ht="15.75" customHeight="1">
      <c r="I51" s="67"/>
      <c r="J51" s="88"/>
      <c r="K51" s="86"/>
      <c r="L51" s="64"/>
      <c r="M51" s="45"/>
      <c r="N51" s="65"/>
      <c r="O51" s="87"/>
    </row>
    <row r="52" spans="1:15" ht="15" customHeight="1">
      <c r="I52" s="67"/>
      <c r="J52" s="88"/>
      <c r="K52" s="86"/>
      <c r="L52" s="64"/>
      <c r="M52" s="45"/>
      <c r="N52" s="65"/>
      <c r="O52" s="87"/>
    </row>
    <row r="53" spans="1:15">
      <c r="I53" s="67"/>
      <c r="J53" s="66"/>
      <c r="K53" s="86"/>
      <c r="L53" s="64"/>
      <c r="M53" s="45"/>
      <c r="N53" s="65"/>
      <c r="O53" s="87"/>
    </row>
    <row r="54" spans="1:15" ht="18.75" customHeight="1">
      <c r="I54" s="67"/>
      <c r="J54" s="66"/>
      <c r="K54" s="86"/>
      <c r="L54" s="64"/>
      <c r="M54" s="45"/>
      <c r="N54" s="65"/>
      <c r="O54" s="87"/>
    </row>
    <row r="55" spans="1:15" ht="19.5" customHeight="1">
      <c r="I55" s="67"/>
      <c r="J55" s="66"/>
      <c r="K55" s="86"/>
      <c r="L55" s="64"/>
      <c r="M55" s="45"/>
      <c r="N55" s="65"/>
      <c r="O55" s="87"/>
    </row>
    <row r="56" spans="1:15" ht="19.5" customHeight="1"/>
    <row r="57" spans="1:15" ht="21" customHeight="1"/>
    <row r="59" spans="1:15" ht="40.5" customHeight="1"/>
    <row r="60" spans="1:15" ht="33" customHeight="1"/>
    <row r="61" spans="1:15" ht="30.75" customHeight="1"/>
    <row r="62" spans="1:15" ht="15.75" customHeight="1"/>
    <row r="63" spans="1:15" ht="18.75" customHeight="1"/>
    <row r="64" spans="1:15" ht="18.75" customHeight="1"/>
    <row r="65" ht="19.5" customHeight="1"/>
    <row r="66" ht="24" customHeight="1"/>
    <row r="67" ht="24" customHeight="1"/>
    <row r="72" ht="15.75" customHeight="1"/>
  </sheetData>
  <mergeCells count="74">
    <mergeCell ref="A40:A46"/>
    <mergeCell ref="A19:A22"/>
    <mergeCell ref="B19:G19"/>
    <mergeCell ref="I43:I49"/>
    <mergeCell ref="B44:B46"/>
    <mergeCell ref="C41:C43"/>
    <mergeCell ref="C44:C46"/>
    <mergeCell ref="B40:G40"/>
    <mergeCell ref="B33:G33"/>
    <mergeCell ref="B34:B36"/>
    <mergeCell ref="C34:C36"/>
    <mergeCell ref="B37:B39"/>
    <mergeCell ref="B41:B43"/>
    <mergeCell ref="I29:I41"/>
    <mergeCell ref="C29:C32"/>
    <mergeCell ref="A47:A49"/>
    <mergeCell ref="J16:J18"/>
    <mergeCell ref="K16:K27"/>
    <mergeCell ref="O16:O27"/>
    <mergeCell ref="C37:C39"/>
    <mergeCell ref="K30:K41"/>
    <mergeCell ref="O30:O41"/>
    <mergeCell ref="J33:J35"/>
    <mergeCell ref="J36:J38"/>
    <mergeCell ref="J39:J41"/>
    <mergeCell ref="J30:J32"/>
    <mergeCell ref="J47:J49"/>
    <mergeCell ref="K44:K49"/>
    <mergeCell ref="O44:O49"/>
    <mergeCell ref="J43:O43"/>
    <mergeCell ref="J44:J46"/>
    <mergeCell ref="J5:J7"/>
    <mergeCell ref="I1:I10"/>
    <mergeCell ref="I11:I13"/>
    <mergeCell ref="J29:O29"/>
    <mergeCell ref="J1:O1"/>
    <mergeCell ref="J2:J4"/>
    <mergeCell ref="K2:K13"/>
    <mergeCell ref="O2:O13"/>
    <mergeCell ref="J8:J10"/>
    <mergeCell ref="J11:J13"/>
    <mergeCell ref="I15:I24"/>
    <mergeCell ref="I25:I27"/>
    <mergeCell ref="J19:J21"/>
    <mergeCell ref="J22:J24"/>
    <mergeCell ref="J25:J27"/>
    <mergeCell ref="J15:O15"/>
    <mergeCell ref="B1:G1"/>
    <mergeCell ref="B2:B4"/>
    <mergeCell ref="C2:C4"/>
    <mergeCell ref="B8:G8"/>
    <mergeCell ref="A33:A39"/>
    <mergeCell ref="A15:A18"/>
    <mergeCell ref="B15:G15"/>
    <mergeCell ref="B16:B18"/>
    <mergeCell ref="C16:C18"/>
    <mergeCell ref="B20:B22"/>
    <mergeCell ref="C20:C22"/>
    <mergeCell ref="A23:A27"/>
    <mergeCell ref="B23:G23"/>
    <mergeCell ref="B24:B25"/>
    <mergeCell ref="C24:C27"/>
    <mergeCell ref="B26:B27"/>
    <mergeCell ref="C9:C11"/>
    <mergeCell ref="B12:B14"/>
    <mergeCell ref="C12:C14"/>
    <mergeCell ref="C5:C7"/>
    <mergeCell ref="B5:B7"/>
    <mergeCell ref="A8:A14"/>
    <mergeCell ref="B29:B30"/>
    <mergeCell ref="B31:B32"/>
    <mergeCell ref="A2:A7"/>
    <mergeCell ref="B9:B11"/>
    <mergeCell ref="A28:A32"/>
  </mergeCells>
  <pageMargins left="7.874015748031496E-2" right="7.874015748031496E-2" top="0.15748031496062992" bottom="7.874015748031496E-2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92"/>
  <sheetViews>
    <sheetView tabSelected="1" topLeftCell="A157" workbookViewId="0">
      <selection activeCell="B168" sqref="B168:H172"/>
    </sheetView>
  </sheetViews>
  <sheetFormatPr defaultRowHeight="12.75"/>
  <cols>
    <col min="1" max="1" width="5" style="2" customWidth="1"/>
    <col min="2" max="2" width="14.85546875" style="4" customWidth="1"/>
    <col min="3" max="3" width="72.5703125" style="1" customWidth="1"/>
    <col min="4" max="4" width="18.7109375" style="1" customWidth="1"/>
    <col min="5" max="5" width="17.85546875" style="1" customWidth="1"/>
    <col min="6" max="6" width="23.28515625" style="1" customWidth="1"/>
    <col min="7" max="7" width="22.7109375" style="1" customWidth="1"/>
    <col min="8" max="8" width="34.85546875" style="1" customWidth="1"/>
    <col min="9" max="44" width="9.140625" style="5"/>
    <col min="45" max="16384" width="9.140625" style="1"/>
  </cols>
  <sheetData>
    <row r="1" spans="1:8" ht="15.75">
      <c r="A1" s="99"/>
      <c r="B1" s="100"/>
      <c r="C1" s="101"/>
      <c r="D1" s="101"/>
      <c r="E1" s="101"/>
      <c r="F1" s="101"/>
      <c r="G1" s="101"/>
      <c r="H1" s="102" t="s">
        <v>37</v>
      </c>
    </row>
    <row r="2" spans="1:8" ht="15.75">
      <c r="A2" s="99"/>
      <c r="B2" s="100"/>
      <c r="C2" s="101"/>
      <c r="D2" s="101"/>
      <c r="E2" s="101"/>
      <c r="F2" s="101"/>
      <c r="G2" s="101"/>
      <c r="H2" s="102" t="s">
        <v>189</v>
      </c>
    </row>
    <row r="3" spans="1:8" ht="15.75">
      <c r="A3" s="99"/>
      <c r="B3" s="100"/>
      <c r="C3" s="101"/>
      <c r="D3" s="101"/>
      <c r="E3" s="101"/>
      <c r="F3" s="101"/>
      <c r="G3" s="101"/>
      <c r="H3" s="102" t="s">
        <v>38</v>
      </c>
    </row>
    <row r="4" spans="1:8" ht="15.75">
      <c r="A4" s="99"/>
      <c r="B4" s="100"/>
      <c r="C4" s="101"/>
      <c r="D4" s="101"/>
      <c r="E4" s="101"/>
      <c r="F4" s="101"/>
      <c r="G4" s="101"/>
      <c r="H4" s="101"/>
    </row>
    <row r="5" spans="1:8" ht="15.75">
      <c r="A5" s="99"/>
      <c r="B5" s="100"/>
      <c r="C5" s="101"/>
      <c r="D5" s="101"/>
      <c r="E5" s="101"/>
      <c r="F5" s="101"/>
      <c r="G5" s="102" t="s">
        <v>190</v>
      </c>
      <c r="H5" s="102" t="s">
        <v>39</v>
      </c>
    </row>
    <row r="6" spans="1:8" ht="15.75">
      <c r="A6" s="99"/>
      <c r="B6" s="100"/>
      <c r="C6" s="101"/>
      <c r="D6" s="101"/>
      <c r="E6" s="101"/>
      <c r="F6" s="101"/>
      <c r="G6" s="102" t="s">
        <v>40</v>
      </c>
      <c r="H6" s="103" t="s">
        <v>41</v>
      </c>
    </row>
    <row r="7" spans="1:8" ht="15.75">
      <c r="A7" s="99"/>
      <c r="B7" s="100"/>
      <c r="C7" s="101"/>
      <c r="D7" s="101"/>
      <c r="E7" s="101"/>
      <c r="F7" s="101"/>
      <c r="G7" s="101"/>
      <c r="H7" s="104"/>
    </row>
    <row r="8" spans="1:8" ht="17.25" customHeight="1">
      <c r="A8" s="99"/>
      <c r="B8" s="89"/>
      <c r="C8" s="284" t="s">
        <v>42</v>
      </c>
      <c r="D8" s="284"/>
      <c r="E8" s="284"/>
      <c r="F8" s="284"/>
      <c r="G8" s="284"/>
      <c r="H8" s="89"/>
    </row>
    <row r="9" spans="1:8" ht="23.25" customHeight="1">
      <c r="A9" s="99"/>
      <c r="B9" s="89"/>
      <c r="C9" s="284" t="s">
        <v>101</v>
      </c>
      <c r="D9" s="284"/>
      <c r="E9" s="284"/>
      <c r="F9" s="284"/>
      <c r="G9" s="284"/>
      <c r="H9" s="284"/>
    </row>
    <row r="10" spans="1:8" ht="29.25" customHeight="1">
      <c r="A10" s="99"/>
      <c r="B10" s="89"/>
      <c r="C10" s="89"/>
      <c r="D10" s="101"/>
      <c r="E10" s="105"/>
      <c r="F10" s="338" t="s">
        <v>195</v>
      </c>
      <c r="G10" s="338"/>
      <c r="H10" s="338"/>
    </row>
    <row r="11" spans="1:8" s="5" customFormat="1" ht="51" customHeight="1">
      <c r="A11" s="106" t="s">
        <v>43</v>
      </c>
      <c r="B11" s="106" t="s">
        <v>44</v>
      </c>
      <c r="C11" s="106" t="s">
        <v>45</v>
      </c>
      <c r="D11" s="106" t="s">
        <v>46</v>
      </c>
      <c r="E11" s="106" t="s">
        <v>47</v>
      </c>
      <c r="F11" s="107" t="s">
        <v>48</v>
      </c>
      <c r="G11" s="107" t="s">
        <v>49</v>
      </c>
      <c r="H11" s="106" t="s">
        <v>50</v>
      </c>
    </row>
    <row r="12" spans="1:8" s="5" customFormat="1" ht="25.5" customHeight="1">
      <c r="A12" s="108"/>
      <c r="B12" s="109"/>
      <c r="C12" s="344" t="s">
        <v>151</v>
      </c>
      <c r="D12" s="345"/>
      <c r="E12" s="345"/>
      <c r="F12" s="110"/>
      <c r="G12" s="110"/>
      <c r="H12" s="111"/>
    </row>
    <row r="13" spans="1:8" s="5" customFormat="1" ht="19.5" customHeight="1">
      <c r="A13" s="305">
        <v>1</v>
      </c>
      <c r="B13" s="354" t="s">
        <v>167</v>
      </c>
      <c r="C13" s="112" t="s">
        <v>117</v>
      </c>
      <c r="D13" s="113"/>
      <c r="E13" s="113"/>
      <c r="F13" s="113"/>
      <c r="G13" s="114"/>
      <c r="H13" s="115"/>
    </row>
    <row r="14" spans="1:8" s="5" customFormat="1" ht="15.75" customHeight="1">
      <c r="A14" s="306"/>
      <c r="B14" s="354"/>
      <c r="C14" s="290" t="s">
        <v>56</v>
      </c>
      <c r="D14" s="288" t="s">
        <v>7</v>
      </c>
      <c r="E14" s="116" t="s">
        <v>154</v>
      </c>
      <c r="F14" s="117">
        <v>8042</v>
      </c>
      <c r="G14" s="117">
        <f>F14*1.18</f>
        <v>9489.56</v>
      </c>
      <c r="H14" s="118"/>
    </row>
    <row r="15" spans="1:8" s="5" customFormat="1" ht="15.75">
      <c r="A15" s="306"/>
      <c r="B15" s="354"/>
      <c r="C15" s="291"/>
      <c r="D15" s="289"/>
      <c r="E15" s="116" t="s">
        <v>155</v>
      </c>
      <c r="F15" s="117">
        <v>9970</v>
      </c>
      <c r="G15" s="117">
        <f t="shared" ref="G15:G23" si="0">F15*1.18</f>
        <v>11764.599999999999</v>
      </c>
      <c r="H15" s="118"/>
    </row>
    <row r="16" spans="1:8" s="5" customFormat="1" ht="12.75" customHeight="1">
      <c r="A16" s="306"/>
      <c r="B16" s="354"/>
      <c r="C16" s="290" t="s">
        <v>57</v>
      </c>
      <c r="D16" s="288" t="s">
        <v>7</v>
      </c>
      <c r="E16" s="116" t="s">
        <v>154</v>
      </c>
      <c r="F16" s="117">
        <v>9585</v>
      </c>
      <c r="G16" s="117">
        <f t="shared" si="0"/>
        <v>11310.3</v>
      </c>
      <c r="H16" s="118"/>
    </row>
    <row r="17" spans="1:8" s="5" customFormat="1" ht="18.75" customHeight="1">
      <c r="A17" s="306"/>
      <c r="B17" s="354"/>
      <c r="C17" s="291"/>
      <c r="D17" s="289"/>
      <c r="E17" s="116" t="s">
        <v>155</v>
      </c>
      <c r="F17" s="117">
        <v>11590</v>
      </c>
      <c r="G17" s="117">
        <f t="shared" si="0"/>
        <v>13676.199999999999</v>
      </c>
      <c r="H17" s="118"/>
    </row>
    <row r="18" spans="1:8" s="5" customFormat="1" ht="15" customHeight="1">
      <c r="A18" s="306"/>
      <c r="B18" s="354"/>
      <c r="C18" s="290" t="s">
        <v>58</v>
      </c>
      <c r="D18" s="288" t="s">
        <v>7</v>
      </c>
      <c r="E18" s="116" t="s">
        <v>154</v>
      </c>
      <c r="F18" s="117">
        <v>11128</v>
      </c>
      <c r="G18" s="117">
        <f t="shared" si="0"/>
        <v>13131.039999999999</v>
      </c>
      <c r="H18" s="118"/>
    </row>
    <row r="19" spans="1:8" s="5" customFormat="1" ht="15.75">
      <c r="A19" s="306"/>
      <c r="B19" s="354"/>
      <c r="C19" s="291"/>
      <c r="D19" s="289"/>
      <c r="E19" s="116" t="s">
        <v>155</v>
      </c>
      <c r="F19" s="117">
        <v>13210</v>
      </c>
      <c r="G19" s="117">
        <f t="shared" si="0"/>
        <v>15587.8</v>
      </c>
      <c r="H19" s="118"/>
    </row>
    <row r="20" spans="1:8" s="5" customFormat="1" ht="15.75">
      <c r="A20" s="306"/>
      <c r="B20" s="354"/>
      <c r="C20" s="290" t="s">
        <v>59</v>
      </c>
      <c r="D20" s="288" t="s">
        <v>7</v>
      </c>
      <c r="E20" s="116" t="s">
        <v>154</v>
      </c>
      <c r="F20" s="117">
        <v>12671</v>
      </c>
      <c r="G20" s="117">
        <f t="shared" si="0"/>
        <v>14951.779999999999</v>
      </c>
      <c r="H20" s="118"/>
    </row>
    <row r="21" spans="1:8" s="5" customFormat="1" ht="15.75">
      <c r="A21" s="306"/>
      <c r="B21" s="354"/>
      <c r="C21" s="291"/>
      <c r="D21" s="289"/>
      <c r="E21" s="116" t="s">
        <v>155</v>
      </c>
      <c r="F21" s="117">
        <v>14830</v>
      </c>
      <c r="G21" s="117">
        <f t="shared" si="0"/>
        <v>17499.399999999998</v>
      </c>
      <c r="H21" s="118"/>
    </row>
    <row r="22" spans="1:8" s="5" customFormat="1" ht="15.75">
      <c r="A22" s="306"/>
      <c r="B22" s="354"/>
      <c r="C22" s="290" t="s">
        <v>60</v>
      </c>
      <c r="D22" s="288" t="s">
        <v>7</v>
      </c>
      <c r="E22" s="116" t="s">
        <v>154</v>
      </c>
      <c r="F22" s="117">
        <v>11126</v>
      </c>
      <c r="G22" s="117">
        <f t="shared" si="0"/>
        <v>13128.679999999998</v>
      </c>
      <c r="H22" s="118"/>
    </row>
    <row r="23" spans="1:8" s="5" customFormat="1" ht="15.75">
      <c r="A23" s="306"/>
      <c r="B23" s="354"/>
      <c r="C23" s="291"/>
      <c r="D23" s="289"/>
      <c r="E23" s="116" t="s">
        <v>155</v>
      </c>
      <c r="F23" s="117">
        <v>13274</v>
      </c>
      <c r="G23" s="117">
        <f t="shared" si="0"/>
        <v>15663.32</v>
      </c>
      <c r="H23" s="118"/>
    </row>
    <row r="24" spans="1:8" s="5" customFormat="1" ht="18.75" customHeight="1">
      <c r="A24" s="306"/>
      <c r="B24" s="354"/>
      <c r="C24" s="301" t="s">
        <v>102</v>
      </c>
      <c r="D24" s="288" t="s">
        <v>7</v>
      </c>
      <c r="E24" s="116" t="s">
        <v>154</v>
      </c>
      <c r="F24" s="119">
        <v>20380</v>
      </c>
      <c r="G24" s="119">
        <f>F24*1.18</f>
        <v>24048.399999999998</v>
      </c>
      <c r="H24" s="115"/>
    </row>
    <row r="25" spans="1:8" s="5" customFormat="1" ht="20.25" customHeight="1">
      <c r="A25" s="306"/>
      <c r="B25" s="354"/>
      <c r="C25" s="302"/>
      <c r="D25" s="289"/>
      <c r="E25" s="116" t="s">
        <v>155</v>
      </c>
      <c r="F25" s="119">
        <v>23121</v>
      </c>
      <c r="G25" s="119">
        <f t="shared" ref="G25:G51" si="1">F25*1.18</f>
        <v>27282.78</v>
      </c>
      <c r="H25" s="115"/>
    </row>
    <row r="26" spans="1:8" s="5" customFormat="1" ht="15.75">
      <c r="A26" s="306"/>
      <c r="B26" s="354"/>
      <c r="C26" s="290" t="s">
        <v>61</v>
      </c>
      <c r="D26" s="288" t="s">
        <v>7</v>
      </c>
      <c r="E26" s="116" t="s">
        <v>154</v>
      </c>
      <c r="F26" s="119">
        <v>19719</v>
      </c>
      <c r="G26" s="119">
        <f t="shared" si="1"/>
        <v>23268.42</v>
      </c>
      <c r="H26" s="115"/>
    </row>
    <row r="27" spans="1:8" s="5" customFormat="1" ht="15.75">
      <c r="A27" s="306"/>
      <c r="B27" s="354"/>
      <c r="C27" s="291"/>
      <c r="D27" s="289"/>
      <c r="E27" s="116" t="s">
        <v>155</v>
      </c>
      <c r="F27" s="119">
        <v>22418</v>
      </c>
      <c r="G27" s="119">
        <f t="shared" si="1"/>
        <v>26453.239999999998</v>
      </c>
      <c r="H27" s="115"/>
    </row>
    <row r="28" spans="1:8" s="5" customFormat="1" ht="17.25" customHeight="1">
      <c r="A28" s="306"/>
      <c r="B28" s="354"/>
      <c r="C28" s="290" t="s">
        <v>62</v>
      </c>
      <c r="D28" s="288" t="s">
        <v>7</v>
      </c>
      <c r="E28" s="116" t="s">
        <v>154</v>
      </c>
      <c r="F28" s="119">
        <v>15092</v>
      </c>
      <c r="G28" s="119">
        <f t="shared" si="1"/>
        <v>17808.559999999998</v>
      </c>
      <c r="H28" s="115"/>
    </row>
    <row r="29" spans="1:8" s="5" customFormat="1" ht="15.75">
      <c r="A29" s="306"/>
      <c r="B29" s="354"/>
      <c r="C29" s="291"/>
      <c r="D29" s="289"/>
      <c r="E29" s="116" t="s">
        <v>155</v>
      </c>
      <c r="F29" s="119">
        <v>17494</v>
      </c>
      <c r="G29" s="119">
        <f t="shared" si="1"/>
        <v>20642.919999999998</v>
      </c>
      <c r="H29" s="115"/>
    </row>
    <row r="30" spans="1:8" s="5" customFormat="1" ht="14.25" customHeight="1">
      <c r="A30" s="306"/>
      <c r="B30" s="354"/>
      <c r="C30" s="290" t="s">
        <v>63</v>
      </c>
      <c r="D30" s="288" t="s">
        <v>7</v>
      </c>
      <c r="E30" s="116" t="s">
        <v>154</v>
      </c>
      <c r="F30" s="119">
        <v>28109</v>
      </c>
      <c r="G30" s="119">
        <f t="shared" si="1"/>
        <v>33168.619999999995</v>
      </c>
      <c r="H30" s="115"/>
    </row>
    <row r="31" spans="1:8" s="5" customFormat="1" ht="15.75">
      <c r="A31" s="306"/>
      <c r="B31" s="354"/>
      <c r="C31" s="291"/>
      <c r="D31" s="289"/>
      <c r="E31" s="116" t="s">
        <v>155</v>
      </c>
      <c r="F31" s="119">
        <v>31402</v>
      </c>
      <c r="G31" s="119">
        <f t="shared" si="1"/>
        <v>37054.36</v>
      </c>
      <c r="H31" s="115"/>
    </row>
    <row r="32" spans="1:8" s="5" customFormat="1" ht="15.75">
      <c r="A32" s="306"/>
      <c r="B32" s="354"/>
      <c r="C32" s="290" t="s">
        <v>64</v>
      </c>
      <c r="D32" s="288" t="s">
        <v>7</v>
      </c>
      <c r="E32" s="116" t="s">
        <v>154</v>
      </c>
      <c r="F32" s="119">
        <v>13770</v>
      </c>
      <c r="G32" s="119">
        <f t="shared" si="1"/>
        <v>16248.599999999999</v>
      </c>
      <c r="H32" s="115"/>
    </row>
    <row r="33" spans="1:8" s="5" customFormat="1" ht="15.75">
      <c r="A33" s="306"/>
      <c r="B33" s="354"/>
      <c r="C33" s="291"/>
      <c r="D33" s="289"/>
      <c r="E33" s="116" t="s">
        <v>155</v>
      </c>
      <c r="F33" s="119">
        <v>16087</v>
      </c>
      <c r="G33" s="119">
        <f t="shared" si="1"/>
        <v>18982.66</v>
      </c>
      <c r="H33" s="115"/>
    </row>
    <row r="34" spans="1:8" s="5" customFormat="1" ht="15.75">
      <c r="A34" s="306"/>
      <c r="B34" s="354"/>
      <c r="C34" s="290" t="s">
        <v>65</v>
      </c>
      <c r="D34" s="288" t="s">
        <v>7</v>
      </c>
      <c r="E34" s="116" t="s">
        <v>154</v>
      </c>
      <c r="F34" s="119">
        <v>18397</v>
      </c>
      <c r="G34" s="119">
        <f t="shared" si="1"/>
        <v>21708.46</v>
      </c>
      <c r="H34" s="115"/>
    </row>
    <row r="35" spans="1:8" s="5" customFormat="1" ht="15.75">
      <c r="A35" s="306"/>
      <c r="B35" s="354"/>
      <c r="C35" s="291"/>
      <c r="D35" s="289"/>
      <c r="E35" s="116" t="s">
        <v>155</v>
      </c>
      <c r="F35" s="119">
        <v>21011</v>
      </c>
      <c r="G35" s="119">
        <f t="shared" si="1"/>
        <v>24792.98</v>
      </c>
      <c r="H35" s="115"/>
    </row>
    <row r="36" spans="1:8" s="5" customFormat="1" ht="18.75" customHeight="1">
      <c r="A36" s="306"/>
      <c r="B36" s="354"/>
      <c r="C36" s="290" t="s">
        <v>66</v>
      </c>
      <c r="D36" s="288" t="s">
        <v>7</v>
      </c>
      <c r="E36" s="116" t="s">
        <v>154</v>
      </c>
      <c r="F36" s="119">
        <v>12448</v>
      </c>
      <c r="G36" s="119">
        <f t="shared" si="1"/>
        <v>14688.64</v>
      </c>
      <c r="H36" s="115"/>
    </row>
    <row r="37" spans="1:8" s="5" customFormat="1" ht="18" customHeight="1">
      <c r="A37" s="306"/>
      <c r="B37" s="354"/>
      <c r="C37" s="291"/>
      <c r="D37" s="289"/>
      <c r="E37" s="116" t="s">
        <v>155</v>
      </c>
      <c r="F37" s="119">
        <v>14681</v>
      </c>
      <c r="G37" s="119">
        <f t="shared" si="1"/>
        <v>17323.579999999998</v>
      </c>
      <c r="H37" s="115"/>
    </row>
    <row r="38" spans="1:8" s="5" customFormat="1" ht="15.75">
      <c r="A38" s="306"/>
      <c r="B38" s="354"/>
      <c r="C38" s="290" t="s">
        <v>67</v>
      </c>
      <c r="D38" s="288" t="s">
        <v>7</v>
      </c>
      <c r="E38" s="116" t="s">
        <v>154</v>
      </c>
      <c r="F38" s="119">
        <v>15092</v>
      </c>
      <c r="G38" s="119">
        <f t="shared" si="1"/>
        <v>17808.559999999998</v>
      </c>
      <c r="H38" s="115"/>
    </row>
    <row r="39" spans="1:8" s="5" customFormat="1" ht="15.75">
      <c r="A39" s="306"/>
      <c r="B39" s="354"/>
      <c r="C39" s="291"/>
      <c r="D39" s="289"/>
      <c r="E39" s="116" t="s">
        <v>155</v>
      </c>
      <c r="F39" s="119">
        <v>17494</v>
      </c>
      <c r="G39" s="119">
        <f t="shared" si="1"/>
        <v>20642.919999999998</v>
      </c>
      <c r="H39" s="115"/>
    </row>
    <row r="40" spans="1:8" s="5" customFormat="1" ht="15.75">
      <c r="A40" s="306"/>
      <c r="B40" s="354"/>
      <c r="C40" s="290" t="s">
        <v>68</v>
      </c>
      <c r="D40" s="288" t="s">
        <v>7</v>
      </c>
      <c r="E40" s="116" t="s">
        <v>154</v>
      </c>
      <c r="F40" s="119">
        <v>21702</v>
      </c>
      <c r="G40" s="119">
        <f t="shared" si="1"/>
        <v>25608.359999999997</v>
      </c>
      <c r="H40" s="115"/>
    </row>
    <row r="41" spans="1:8" s="5" customFormat="1" ht="15.75">
      <c r="A41" s="306"/>
      <c r="B41" s="354"/>
      <c r="C41" s="291"/>
      <c r="D41" s="289"/>
      <c r="E41" s="116" t="s">
        <v>155</v>
      </c>
      <c r="F41" s="119">
        <v>24528</v>
      </c>
      <c r="G41" s="119">
        <f t="shared" si="1"/>
        <v>28943.039999999997</v>
      </c>
      <c r="H41" s="115"/>
    </row>
    <row r="42" spans="1:8" s="5" customFormat="1" ht="15.75">
      <c r="A42" s="306"/>
      <c r="B42" s="354"/>
      <c r="C42" s="290" t="s">
        <v>69</v>
      </c>
      <c r="D42" s="288" t="s">
        <v>7</v>
      </c>
      <c r="E42" s="116" t="s">
        <v>154</v>
      </c>
      <c r="F42" s="119">
        <v>17075</v>
      </c>
      <c r="G42" s="119">
        <f t="shared" si="1"/>
        <v>20148.5</v>
      </c>
      <c r="H42" s="115"/>
    </row>
    <row r="43" spans="1:8" s="5" customFormat="1" ht="15.75">
      <c r="A43" s="306"/>
      <c r="B43" s="354"/>
      <c r="C43" s="291"/>
      <c r="D43" s="289"/>
      <c r="E43" s="116" t="s">
        <v>155</v>
      </c>
      <c r="F43" s="119">
        <v>19604</v>
      </c>
      <c r="G43" s="119">
        <f t="shared" si="1"/>
        <v>23132.719999999998</v>
      </c>
      <c r="H43" s="115"/>
    </row>
    <row r="44" spans="1:8" s="5" customFormat="1" ht="15.75">
      <c r="A44" s="306"/>
      <c r="B44" s="354"/>
      <c r="C44" s="290" t="s">
        <v>70</v>
      </c>
      <c r="D44" s="288" t="s">
        <v>7</v>
      </c>
      <c r="E44" s="116" t="s">
        <v>154</v>
      </c>
      <c r="F44" s="119">
        <v>17075</v>
      </c>
      <c r="G44" s="119">
        <f t="shared" si="1"/>
        <v>20148.5</v>
      </c>
      <c r="H44" s="115"/>
    </row>
    <row r="45" spans="1:8" s="5" customFormat="1" ht="15.75">
      <c r="A45" s="306"/>
      <c r="B45" s="354"/>
      <c r="C45" s="291"/>
      <c r="D45" s="289"/>
      <c r="E45" s="116" t="s">
        <v>155</v>
      </c>
      <c r="F45" s="119">
        <v>19604</v>
      </c>
      <c r="G45" s="119">
        <f t="shared" si="1"/>
        <v>23132.719999999998</v>
      </c>
      <c r="H45" s="115"/>
    </row>
    <row r="46" spans="1:8" s="5" customFormat="1" ht="15.75">
      <c r="A46" s="306"/>
      <c r="B46" s="354"/>
      <c r="C46" s="290" t="s">
        <v>71</v>
      </c>
      <c r="D46" s="288" t="s">
        <v>7</v>
      </c>
      <c r="E46" s="116" t="s">
        <v>154</v>
      </c>
      <c r="F46" s="119">
        <v>16414</v>
      </c>
      <c r="G46" s="119">
        <f t="shared" si="1"/>
        <v>19368.52</v>
      </c>
      <c r="H46" s="115"/>
    </row>
    <row r="47" spans="1:8" s="5" customFormat="1" ht="15.75">
      <c r="A47" s="306"/>
      <c r="B47" s="354"/>
      <c r="C47" s="291"/>
      <c r="D47" s="289"/>
      <c r="E47" s="116" t="s">
        <v>155</v>
      </c>
      <c r="F47" s="119">
        <v>18901</v>
      </c>
      <c r="G47" s="119">
        <f t="shared" si="1"/>
        <v>22303.18</v>
      </c>
      <c r="H47" s="115"/>
    </row>
    <row r="48" spans="1:8" s="5" customFormat="1" ht="15.75">
      <c r="A48" s="306"/>
      <c r="B48" s="354"/>
      <c r="C48" s="290" t="s">
        <v>72</v>
      </c>
      <c r="D48" s="288" t="s">
        <v>7</v>
      </c>
      <c r="E48" s="116" t="s">
        <v>154</v>
      </c>
      <c r="F48" s="119">
        <v>21041</v>
      </c>
      <c r="G48" s="119">
        <f t="shared" si="1"/>
        <v>24828.379999999997</v>
      </c>
      <c r="H48" s="115"/>
    </row>
    <row r="49" spans="1:8" s="5" customFormat="1" ht="15.75">
      <c r="A49" s="306"/>
      <c r="B49" s="354"/>
      <c r="C49" s="291"/>
      <c r="D49" s="289"/>
      <c r="E49" s="116" t="s">
        <v>155</v>
      </c>
      <c r="F49" s="119">
        <v>23825</v>
      </c>
      <c r="G49" s="119">
        <f t="shared" si="1"/>
        <v>28113.5</v>
      </c>
      <c r="H49" s="115"/>
    </row>
    <row r="50" spans="1:8" s="5" customFormat="1" ht="15.75">
      <c r="A50" s="306"/>
      <c r="B50" s="354"/>
      <c r="C50" s="290" t="s">
        <v>73</v>
      </c>
      <c r="D50" s="288" t="s">
        <v>7</v>
      </c>
      <c r="E50" s="116" t="s">
        <v>154</v>
      </c>
      <c r="F50" s="119">
        <v>25007</v>
      </c>
      <c r="G50" s="119">
        <f t="shared" si="1"/>
        <v>29508.26</v>
      </c>
      <c r="H50" s="115"/>
    </row>
    <row r="51" spans="1:8" s="5" customFormat="1" ht="13.5" customHeight="1">
      <c r="A51" s="306"/>
      <c r="B51" s="354"/>
      <c r="C51" s="291"/>
      <c r="D51" s="289"/>
      <c r="E51" s="116" t="s">
        <v>155</v>
      </c>
      <c r="F51" s="119">
        <v>28045</v>
      </c>
      <c r="G51" s="119">
        <f t="shared" si="1"/>
        <v>33093.1</v>
      </c>
      <c r="H51" s="115"/>
    </row>
    <row r="52" spans="1:8" s="5" customFormat="1" ht="15.75">
      <c r="A52" s="306"/>
      <c r="B52" s="355" t="s">
        <v>168</v>
      </c>
      <c r="C52" s="290" t="s">
        <v>74</v>
      </c>
      <c r="D52" s="288" t="s">
        <v>7</v>
      </c>
      <c r="E52" s="116" t="s">
        <v>154</v>
      </c>
      <c r="F52" s="119">
        <f>5878+1820+50</f>
        <v>7748</v>
      </c>
      <c r="G52" s="119">
        <f>F52*1.18</f>
        <v>9142.64</v>
      </c>
      <c r="H52" s="115"/>
    </row>
    <row r="53" spans="1:8" s="5" customFormat="1" ht="15.75">
      <c r="A53" s="306"/>
      <c r="B53" s="354"/>
      <c r="C53" s="291"/>
      <c r="D53" s="289"/>
      <c r="E53" s="116" t="s">
        <v>155</v>
      </c>
      <c r="F53" s="119">
        <f>6173+1820+50</f>
        <v>8043</v>
      </c>
      <c r="G53" s="119">
        <f>F53*1.18</f>
        <v>9490.74</v>
      </c>
      <c r="H53" s="115"/>
    </row>
    <row r="54" spans="1:8" s="5" customFormat="1" ht="15.75">
      <c r="A54" s="306"/>
      <c r="B54" s="354"/>
      <c r="C54" s="290" t="s">
        <v>75</v>
      </c>
      <c r="D54" s="288" t="s">
        <v>7</v>
      </c>
      <c r="E54" s="116" t="s">
        <v>154</v>
      </c>
      <c r="F54" s="119">
        <f>7348+1820+50</f>
        <v>9218</v>
      </c>
      <c r="G54" s="119">
        <f>F54*1.18</f>
        <v>10877.24</v>
      </c>
      <c r="H54" s="115"/>
    </row>
    <row r="55" spans="1:8" s="5" customFormat="1" ht="15.75">
      <c r="A55" s="306"/>
      <c r="B55" s="354"/>
      <c r="C55" s="291"/>
      <c r="D55" s="289"/>
      <c r="E55" s="116" t="s">
        <v>155</v>
      </c>
      <c r="F55" s="119">
        <f>7717+1820+50</f>
        <v>9587</v>
      </c>
      <c r="G55" s="119">
        <f>F55*1.18</f>
        <v>11312.66</v>
      </c>
      <c r="H55" s="115"/>
    </row>
    <row r="56" spans="1:8" s="5" customFormat="1" ht="15.75">
      <c r="A56" s="306"/>
      <c r="B56" s="354"/>
      <c r="C56" s="290" t="s">
        <v>76</v>
      </c>
      <c r="D56" s="288" t="s">
        <v>7</v>
      </c>
      <c r="E56" s="116" t="s">
        <v>154</v>
      </c>
      <c r="F56" s="119">
        <f>7348+1820+50</f>
        <v>9218</v>
      </c>
      <c r="G56" s="119">
        <f t="shared" ref="G56:G69" si="2">F56*1.18</f>
        <v>10877.24</v>
      </c>
      <c r="H56" s="115"/>
    </row>
    <row r="57" spans="1:8" s="5" customFormat="1" ht="15.75">
      <c r="A57" s="306"/>
      <c r="B57" s="354"/>
      <c r="C57" s="291"/>
      <c r="D57" s="289"/>
      <c r="E57" s="116" t="s">
        <v>155</v>
      </c>
      <c r="F57" s="119">
        <f>7717+1820+50</f>
        <v>9587</v>
      </c>
      <c r="G57" s="119">
        <f t="shared" si="2"/>
        <v>11312.66</v>
      </c>
      <c r="H57" s="115"/>
    </row>
    <row r="58" spans="1:8" s="5" customFormat="1" ht="15.75">
      <c r="A58" s="306"/>
      <c r="B58" s="354"/>
      <c r="C58" s="290" t="s">
        <v>77</v>
      </c>
      <c r="D58" s="288" t="s">
        <v>7</v>
      </c>
      <c r="E58" s="116" t="s">
        <v>154</v>
      </c>
      <c r="F58" s="119">
        <f>8818+1820+50</f>
        <v>10688</v>
      </c>
      <c r="G58" s="119">
        <f t="shared" si="2"/>
        <v>12611.84</v>
      </c>
      <c r="H58" s="115"/>
    </row>
    <row r="59" spans="1:8" s="5" customFormat="1" ht="15.75">
      <c r="A59" s="306"/>
      <c r="B59" s="354"/>
      <c r="C59" s="291"/>
      <c r="D59" s="289"/>
      <c r="E59" s="116" t="s">
        <v>155</v>
      </c>
      <c r="F59" s="119">
        <f>9260+1820+50</f>
        <v>11130</v>
      </c>
      <c r="G59" s="119">
        <f t="shared" si="2"/>
        <v>13133.4</v>
      </c>
      <c r="H59" s="115"/>
    </row>
    <row r="60" spans="1:8" s="5" customFormat="1" ht="15.75">
      <c r="A60" s="306"/>
      <c r="B60" s="354"/>
      <c r="C60" s="290" t="s">
        <v>78</v>
      </c>
      <c r="D60" s="288" t="s">
        <v>7</v>
      </c>
      <c r="E60" s="116" t="s">
        <v>154</v>
      </c>
      <c r="F60" s="119">
        <f>10287+1820+50</f>
        <v>12157</v>
      </c>
      <c r="G60" s="119">
        <f t="shared" si="2"/>
        <v>14345.259999999998</v>
      </c>
      <c r="H60" s="115"/>
    </row>
    <row r="61" spans="1:8" s="5" customFormat="1" ht="15.75">
      <c r="A61" s="306"/>
      <c r="B61" s="354"/>
      <c r="C61" s="291"/>
      <c r="D61" s="289"/>
      <c r="E61" s="116" t="s">
        <v>155</v>
      </c>
      <c r="F61" s="119">
        <f>10803+1820+50</f>
        <v>12673</v>
      </c>
      <c r="G61" s="119">
        <f t="shared" si="2"/>
        <v>14954.14</v>
      </c>
      <c r="H61" s="115"/>
    </row>
    <row r="62" spans="1:8" s="5" customFormat="1" ht="15.75">
      <c r="A62" s="306"/>
      <c r="B62" s="354"/>
      <c r="C62" s="290" t="s">
        <v>79</v>
      </c>
      <c r="D62" s="288" t="s">
        <v>7</v>
      </c>
      <c r="E62" s="116" t="s">
        <v>154</v>
      </c>
      <c r="F62" s="119">
        <f>11757+1820+50</f>
        <v>13627</v>
      </c>
      <c r="G62" s="119">
        <f t="shared" si="2"/>
        <v>16079.859999999999</v>
      </c>
      <c r="H62" s="115"/>
    </row>
    <row r="63" spans="1:8" s="5" customFormat="1" ht="15.75">
      <c r="A63" s="306"/>
      <c r="B63" s="354"/>
      <c r="C63" s="291"/>
      <c r="D63" s="289"/>
      <c r="E63" s="116" t="s">
        <v>155</v>
      </c>
      <c r="F63" s="119">
        <f>12346+1820+50</f>
        <v>14216</v>
      </c>
      <c r="G63" s="119">
        <f t="shared" si="2"/>
        <v>16774.879999999997</v>
      </c>
      <c r="H63" s="115"/>
    </row>
    <row r="64" spans="1:8" s="5" customFormat="1" ht="15.75">
      <c r="A64" s="306"/>
      <c r="B64" s="354"/>
      <c r="C64" s="290" t="s">
        <v>80</v>
      </c>
      <c r="D64" s="288" t="s">
        <v>7</v>
      </c>
      <c r="E64" s="116" t="s">
        <v>154</v>
      </c>
      <c r="F64" s="119">
        <f>13226+1820+50</f>
        <v>15096</v>
      </c>
      <c r="G64" s="119">
        <f t="shared" si="2"/>
        <v>17813.28</v>
      </c>
      <c r="H64" s="115"/>
    </row>
    <row r="65" spans="1:8" s="5" customFormat="1" ht="15.75">
      <c r="A65" s="306"/>
      <c r="B65" s="354"/>
      <c r="C65" s="291"/>
      <c r="D65" s="289"/>
      <c r="E65" s="116" t="s">
        <v>155</v>
      </c>
      <c r="F65" s="119">
        <f>13890+1820+50</f>
        <v>15760</v>
      </c>
      <c r="G65" s="119">
        <f t="shared" si="2"/>
        <v>18596.8</v>
      </c>
      <c r="H65" s="115"/>
    </row>
    <row r="66" spans="1:8" s="5" customFormat="1" ht="15.75">
      <c r="A66" s="306"/>
      <c r="B66" s="354"/>
      <c r="C66" s="290" t="s">
        <v>81</v>
      </c>
      <c r="D66" s="288" t="s">
        <v>7</v>
      </c>
      <c r="E66" s="116" t="s">
        <v>154</v>
      </c>
      <c r="F66" s="119">
        <f>14696+1820+50</f>
        <v>16566</v>
      </c>
      <c r="G66" s="119">
        <f t="shared" si="2"/>
        <v>19547.879999999997</v>
      </c>
      <c r="H66" s="115"/>
    </row>
    <row r="67" spans="1:8" s="5" customFormat="1" ht="15.75">
      <c r="A67" s="306"/>
      <c r="B67" s="354"/>
      <c r="C67" s="291"/>
      <c r="D67" s="289"/>
      <c r="E67" s="116" t="s">
        <v>155</v>
      </c>
      <c r="F67" s="119">
        <f>15433+1820+50</f>
        <v>17303</v>
      </c>
      <c r="G67" s="119">
        <f t="shared" si="2"/>
        <v>20417.539999999997</v>
      </c>
      <c r="H67" s="115"/>
    </row>
    <row r="68" spans="1:8" s="5" customFormat="1" ht="15.75">
      <c r="A68" s="306"/>
      <c r="B68" s="354"/>
      <c r="C68" s="290" t="s">
        <v>82</v>
      </c>
      <c r="D68" s="288" t="s">
        <v>7</v>
      </c>
      <c r="E68" s="116" t="s">
        <v>154</v>
      </c>
      <c r="F68" s="119">
        <f>11757+1820+50</f>
        <v>13627</v>
      </c>
      <c r="G68" s="119">
        <f t="shared" si="2"/>
        <v>16079.859999999999</v>
      </c>
      <c r="H68" s="115"/>
    </row>
    <row r="69" spans="1:8" s="5" customFormat="1" ht="15.75">
      <c r="A69" s="306"/>
      <c r="B69" s="354"/>
      <c r="C69" s="291"/>
      <c r="D69" s="289"/>
      <c r="E69" s="116" t="s">
        <v>155</v>
      </c>
      <c r="F69" s="119">
        <f>12346+1820+50</f>
        <v>14216</v>
      </c>
      <c r="G69" s="119">
        <f t="shared" si="2"/>
        <v>16774.879999999997</v>
      </c>
      <c r="H69" s="115"/>
    </row>
    <row r="70" spans="1:8" s="5" customFormat="1" ht="15.75">
      <c r="A70" s="306"/>
      <c r="B70" s="354" t="s">
        <v>169</v>
      </c>
      <c r="C70" s="290" t="s">
        <v>83</v>
      </c>
      <c r="D70" s="288" t="s">
        <v>7</v>
      </c>
      <c r="E70" s="116" t="s">
        <v>154</v>
      </c>
      <c r="F70" s="119">
        <f>5144+1820+50</f>
        <v>7014</v>
      </c>
      <c r="G70" s="119">
        <f>F70*1.18</f>
        <v>8276.52</v>
      </c>
      <c r="H70" s="115"/>
    </row>
    <row r="71" spans="1:8" s="5" customFormat="1" ht="15.75">
      <c r="A71" s="306"/>
      <c r="B71" s="354"/>
      <c r="C71" s="291"/>
      <c r="D71" s="289"/>
      <c r="E71" s="116" t="s">
        <v>155</v>
      </c>
      <c r="F71" s="119">
        <f>6945+1820+50</f>
        <v>8815</v>
      </c>
      <c r="G71" s="119">
        <f t="shared" ref="G71:G117" si="3">F71*1.18</f>
        <v>10401.699999999999</v>
      </c>
      <c r="H71" s="115"/>
    </row>
    <row r="72" spans="1:8" s="5" customFormat="1" ht="18" customHeight="1">
      <c r="A72" s="306"/>
      <c r="B72" s="354"/>
      <c r="C72" s="290" t="s">
        <v>84</v>
      </c>
      <c r="D72" s="288" t="s">
        <v>7</v>
      </c>
      <c r="E72" s="116" t="s">
        <v>154</v>
      </c>
      <c r="F72" s="119">
        <f>5878+1820+50</f>
        <v>7748</v>
      </c>
      <c r="G72" s="119">
        <f t="shared" si="3"/>
        <v>9142.64</v>
      </c>
      <c r="H72" s="115"/>
    </row>
    <row r="73" spans="1:8" s="5" customFormat="1" ht="15.75">
      <c r="A73" s="306"/>
      <c r="B73" s="354"/>
      <c r="C73" s="291"/>
      <c r="D73" s="289"/>
      <c r="E73" s="116" t="s">
        <v>155</v>
      </c>
      <c r="F73" s="119">
        <f>7717+1820+50</f>
        <v>9587</v>
      </c>
      <c r="G73" s="119">
        <f t="shared" si="3"/>
        <v>11312.66</v>
      </c>
      <c r="H73" s="115"/>
    </row>
    <row r="74" spans="1:8" s="5" customFormat="1" ht="17.25" customHeight="1">
      <c r="A74" s="306"/>
      <c r="B74" s="354"/>
      <c r="C74" s="301" t="s">
        <v>112</v>
      </c>
      <c r="D74" s="288" t="s">
        <v>7</v>
      </c>
      <c r="E74" s="116" t="s">
        <v>154</v>
      </c>
      <c r="F74" s="119">
        <v>9804</v>
      </c>
      <c r="G74" s="119">
        <f t="shared" si="3"/>
        <v>11568.72</v>
      </c>
      <c r="H74" s="115"/>
    </row>
    <row r="75" spans="1:8" s="5" customFormat="1" ht="18.75" customHeight="1">
      <c r="A75" s="306"/>
      <c r="B75" s="354"/>
      <c r="C75" s="302"/>
      <c r="D75" s="289"/>
      <c r="E75" s="116" t="s">
        <v>155</v>
      </c>
      <c r="F75" s="119">
        <v>11867</v>
      </c>
      <c r="G75" s="119">
        <f t="shared" si="3"/>
        <v>14003.06</v>
      </c>
      <c r="H75" s="115"/>
    </row>
    <row r="76" spans="1:8" s="5" customFormat="1" ht="15.75" customHeight="1">
      <c r="A76" s="306"/>
      <c r="B76" s="354"/>
      <c r="C76" s="301" t="s">
        <v>132</v>
      </c>
      <c r="D76" s="288" t="s">
        <v>7</v>
      </c>
      <c r="E76" s="116" t="s">
        <v>154</v>
      </c>
      <c r="F76" s="119">
        <v>13109</v>
      </c>
      <c r="G76" s="119">
        <f t="shared" si="3"/>
        <v>15468.619999999999</v>
      </c>
      <c r="H76" s="115"/>
    </row>
    <row r="77" spans="1:8" s="5" customFormat="1" ht="15" customHeight="1">
      <c r="A77" s="306"/>
      <c r="B77" s="354"/>
      <c r="C77" s="302"/>
      <c r="D77" s="289"/>
      <c r="E77" s="116" t="s">
        <v>155</v>
      </c>
      <c r="F77" s="119">
        <v>15384</v>
      </c>
      <c r="G77" s="119">
        <f t="shared" si="3"/>
        <v>18153.12</v>
      </c>
      <c r="H77" s="115"/>
    </row>
    <row r="78" spans="1:8" s="5" customFormat="1" ht="15.75">
      <c r="A78" s="306"/>
      <c r="B78" s="354"/>
      <c r="C78" s="301" t="s">
        <v>133</v>
      </c>
      <c r="D78" s="288" t="s">
        <v>7</v>
      </c>
      <c r="E78" s="116" t="s">
        <v>154</v>
      </c>
      <c r="F78" s="119">
        <v>21041</v>
      </c>
      <c r="G78" s="119">
        <f t="shared" si="3"/>
        <v>24828.379999999997</v>
      </c>
      <c r="H78" s="115"/>
    </row>
    <row r="79" spans="1:8" s="5" customFormat="1" ht="15.75">
      <c r="A79" s="306"/>
      <c r="B79" s="354"/>
      <c r="C79" s="302"/>
      <c r="D79" s="289"/>
      <c r="E79" s="116" t="s">
        <v>155</v>
      </c>
      <c r="F79" s="119">
        <v>23825</v>
      </c>
      <c r="G79" s="119">
        <f t="shared" si="3"/>
        <v>28113.5</v>
      </c>
      <c r="H79" s="115"/>
    </row>
    <row r="80" spans="1:8" s="5" customFormat="1" ht="15.75">
      <c r="A80" s="306"/>
      <c r="B80" s="354"/>
      <c r="C80" s="301" t="s">
        <v>110</v>
      </c>
      <c r="D80" s="288" t="s">
        <v>7</v>
      </c>
      <c r="E80" s="116" t="s">
        <v>154</v>
      </c>
      <c r="F80" s="119">
        <v>14431</v>
      </c>
      <c r="G80" s="119">
        <f t="shared" si="3"/>
        <v>17028.579999999998</v>
      </c>
      <c r="H80" s="115"/>
    </row>
    <row r="81" spans="1:8" s="5" customFormat="1" ht="15.75">
      <c r="A81" s="306"/>
      <c r="B81" s="354"/>
      <c r="C81" s="302"/>
      <c r="D81" s="289"/>
      <c r="E81" s="116" t="s">
        <v>155</v>
      </c>
      <c r="F81" s="119">
        <v>16791</v>
      </c>
      <c r="G81" s="119">
        <f t="shared" si="3"/>
        <v>19813.379999999997</v>
      </c>
      <c r="H81" s="115"/>
    </row>
    <row r="82" spans="1:8" s="5" customFormat="1" ht="15.75">
      <c r="A82" s="306"/>
      <c r="B82" s="354"/>
      <c r="C82" s="301" t="s">
        <v>111</v>
      </c>
      <c r="D82" s="288" t="s">
        <v>7</v>
      </c>
      <c r="E82" s="116" t="s">
        <v>154</v>
      </c>
      <c r="F82" s="119">
        <v>23685</v>
      </c>
      <c r="G82" s="119">
        <f t="shared" si="3"/>
        <v>27948.3</v>
      </c>
      <c r="H82" s="115"/>
    </row>
    <row r="83" spans="1:8" s="5" customFormat="1" ht="15.75">
      <c r="A83" s="306"/>
      <c r="B83" s="354"/>
      <c r="C83" s="302"/>
      <c r="D83" s="289"/>
      <c r="E83" s="116" t="s">
        <v>155</v>
      </c>
      <c r="F83" s="119">
        <v>26638</v>
      </c>
      <c r="G83" s="119">
        <f t="shared" si="3"/>
        <v>31432.84</v>
      </c>
      <c r="H83" s="115"/>
    </row>
    <row r="84" spans="1:8" s="5" customFormat="1" ht="15.75">
      <c r="A84" s="306"/>
      <c r="B84" s="354" t="s">
        <v>170</v>
      </c>
      <c r="C84" s="290" t="s">
        <v>85</v>
      </c>
      <c r="D84" s="288" t="s">
        <v>7</v>
      </c>
      <c r="E84" s="116" t="s">
        <v>154</v>
      </c>
      <c r="F84" s="119">
        <f>5326+2306+70</f>
        <v>7702</v>
      </c>
      <c r="G84" s="119">
        <f t="shared" si="3"/>
        <v>9088.3599999999988</v>
      </c>
      <c r="H84" s="115"/>
    </row>
    <row r="85" spans="1:8" s="5" customFormat="1" ht="15.75">
      <c r="A85" s="306"/>
      <c r="B85" s="354"/>
      <c r="C85" s="291"/>
      <c r="D85" s="289"/>
      <c r="E85" s="116" t="s">
        <v>155</v>
      </c>
      <c r="F85" s="119">
        <f>6282+2306+70</f>
        <v>8658</v>
      </c>
      <c r="G85" s="119">
        <f t="shared" si="3"/>
        <v>10216.439999999999</v>
      </c>
      <c r="H85" s="115"/>
    </row>
    <row r="86" spans="1:8" s="5" customFormat="1" ht="19.5" customHeight="1">
      <c r="A86" s="306"/>
      <c r="B86" s="354"/>
      <c r="C86" s="290" t="s">
        <v>86</v>
      </c>
      <c r="D86" s="288" t="s">
        <v>7</v>
      </c>
      <c r="E86" s="116" t="s">
        <v>154</v>
      </c>
      <c r="F86" s="119">
        <f>6214+2306+70</f>
        <v>8590</v>
      </c>
      <c r="G86" s="119">
        <f t="shared" si="3"/>
        <v>10136.199999999999</v>
      </c>
      <c r="H86" s="115"/>
    </row>
    <row r="87" spans="1:8" s="5" customFormat="1" ht="15.75">
      <c r="A87" s="306"/>
      <c r="B87" s="354"/>
      <c r="C87" s="291"/>
      <c r="D87" s="289"/>
      <c r="E87" s="116" t="s">
        <v>155</v>
      </c>
      <c r="F87" s="119">
        <f>7238+2306+70</f>
        <v>9614</v>
      </c>
      <c r="G87" s="119">
        <f t="shared" si="3"/>
        <v>11344.519999999999</v>
      </c>
      <c r="H87" s="115"/>
    </row>
    <row r="88" spans="1:8" s="5" customFormat="1" ht="15.75">
      <c r="A88" s="306"/>
      <c r="B88" s="354"/>
      <c r="C88" s="290" t="s">
        <v>87</v>
      </c>
      <c r="D88" s="288" t="s">
        <v>7</v>
      </c>
      <c r="E88" s="116" t="s">
        <v>154</v>
      </c>
      <c r="F88" s="119">
        <f>7102+2306+70</f>
        <v>9478</v>
      </c>
      <c r="G88" s="119">
        <f t="shared" si="3"/>
        <v>11184.039999999999</v>
      </c>
      <c r="H88" s="115"/>
    </row>
    <row r="89" spans="1:8" s="5" customFormat="1" ht="15.75">
      <c r="A89" s="306"/>
      <c r="B89" s="354"/>
      <c r="C89" s="291"/>
      <c r="D89" s="289"/>
      <c r="E89" s="116" t="s">
        <v>155</v>
      </c>
      <c r="F89" s="119">
        <f>8192+2306+70</f>
        <v>10568</v>
      </c>
      <c r="G89" s="119">
        <f t="shared" si="3"/>
        <v>12470.24</v>
      </c>
      <c r="H89" s="115"/>
    </row>
    <row r="90" spans="1:8" s="5" customFormat="1" ht="15.75">
      <c r="A90" s="306"/>
      <c r="B90" s="354"/>
      <c r="C90" s="290" t="s">
        <v>88</v>
      </c>
      <c r="D90" s="288" t="s">
        <v>7</v>
      </c>
      <c r="E90" s="116" t="s">
        <v>154</v>
      </c>
      <c r="F90" s="119">
        <f>7546+2306+70</f>
        <v>9922</v>
      </c>
      <c r="G90" s="119">
        <f t="shared" si="3"/>
        <v>11707.96</v>
      </c>
      <c r="H90" s="115"/>
    </row>
    <row r="91" spans="1:8" s="5" customFormat="1" ht="15.75">
      <c r="A91" s="306"/>
      <c r="B91" s="354"/>
      <c r="C91" s="291"/>
      <c r="D91" s="289"/>
      <c r="E91" s="116" t="s">
        <v>155</v>
      </c>
      <c r="F91" s="119">
        <f>8670+2306+70</f>
        <v>11046</v>
      </c>
      <c r="G91" s="119">
        <f t="shared" si="3"/>
        <v>13034.279999999999</v>
      </c>
      <c r="H91" s="115"/>
    </row>
    <row r="92" spans="1:8" s="5" customFormat="1" ht="15.75">
      <c r="A92" s="306"/>
      <c r="B92" s="354"/>
      <c r="C92" s="290" t="s">
        <v>89</v>
      </c>
      <c r="D92" s="288" t="s">
        <v>7</v>
      </c>
      <c r="E92" s="116" t="s">
        <v>154</v>
      </c>
      <c r="F92" s="119">
        <f>7989+2306+70</f>
        <v>10365</v>
      </c>
      <c r="G92" s="119">
        <f t="shared" si="3"/>
        <v>12230.699999999999</v>
      </c>
      <c r="H92" s="115"/>
    </row>
    <row r="93" spans="1:8" s="5" customFormat="1" ht="15.75">
      <c r="A93" s="306"/>
      <c r="B93" s="354"/>
      <c r="C93" s="291"/>
      <c r="D93" s="289"/>
      <c r="E93" s="116" t="s">
        <v>155</v>
      </c>
      <c r="F93" s="119">
        <f>9149+2306+70</f>
        <v>11525</v>
      </c>
      <c r="G93" s="119">
        <f t="shared" si="3"/>
        <v>13599.5</v>
      </c>
      <c r="H93" s="115"/>
    </row>
    <row r="94" spans="1:8" s="5" customFormat="1" ht="18" customHeight="1">
      <c r="A94" s="306"/>
      <c r="B94" s="354"/>
      <c r="C94" s="290" t="s">
        <v>90</v>
      </c>
      <c r="D94" s="288" t="s">
        <v>7</v>
      </c>
      <c r="E94" s="116" t="s">
        <v>154</v>
      </c>
      <c r="F94" s="119">
        <f>8434+2306+70</f>
        <v>10810</v>
      </c>
      <c r="G94" s="119">
        <f t="shared" si="3"/>
        <v>12755.8</v>
      </c>
      <c r="H94" s="115"/>
    </row>
    <row r="95" spans="1:8" s="5" customFormat="1" ht="15.75">
      <c r="A95" s="306"/>
      <c r="B95" s="354"/>
      <c r="C95" s="291"/>
      <c r="D95" s="289"/>
      <c r="E95" s="116" t="s">
        <v>155</v>
      </c>
      <c r="F95" s="119">
        <f>9626+2306+70</f>
        <v>12002</v>
      </c>
      <c r="G95" s="119">
        <f t="shared" si="3"/>
        <v>14162.359999999999</v>
      </c>
      <c r="H95" s="115"/>
    </row>
    <row r="96" spans="1:8" s="5" customFormat="1" ht="15.75">
      <c r="A96" s="306"/>
      <c r="B96" s="354"/>
      <c r="C96" s="290" t="s">
        <v>91</v>
      </c>
      <c r="D96" s="288" t="s">
        <v>7</v>
      </c>
      <c r="E96" s="116" t="s">
        <v>154</v>
      </c>
      <c r="F96" s="119">
        <f>8877+2306+70</f>
        <v>11253</v>
      </c>
      <c r="G96" s="119">
        <f t="shared" si="3"/>
        <v>13278.539999999999</v>
      </c>
      <c r="H96" s="115"/>
    </row>
    <row r="97" spans="1:8" s="5" customFormat="1" ht="15.75">
      <c r="A97" s="306"/>
      <c r="B97" s="354"/>
      <c r="C97" s="291"/>
      <c r="D97" s="289"/>
      <c r="E97" s="116" t="s">
        <v>155</v>
      </c>
      <c r="F97" s="119">
        <f>10104+2306+70</f>
        <v>12480</v>
      </c>
      <c r="G97" s="119">
        <f t="shared" si="3"/>
        <v>14726.4</v>
      </c>
      <c r="H97" s="115"/>
    </row>
    <row r="98" spans="1:8" s="5" customFormat="1" ht="14.25" customHeight="1">
      <c r="A98" s="306"/>
      <c r="B98" s="354"/>
      <c r="C98" s="301" t="s">
        <v>92</v>
      </c>
      <c r="D98" s="288" t="s">
        <v>7</v>
      </c>
      <c r="E98" s="116" t="s">
        <v>154</v>
      </c>
      <c r="F98" s="119">
        <f>9321+2306+70</f>
        <v>11697</v>
      </c>
      <c r="G98" s="119">
        <f t="shared" si="3"/>
        <v>13802.46</v>
      </c>
      <c r="H98" s="115"/>
    </row>
    <row r="99" spans="1:8" s="5" customFormat="1" ht="21.75" customHeight="1">
      <c r="A99" s="306"/>
      <c r="B99" s="354"/>
      <c r="C99" s="302"/>
      <c r="D99" s="289"/>
      <c r="E99" s="116" t="s">
        <v>155</v>
      </c>
      <c r="F99" s="119">
        <f>10581+2306+70</f>
        <v>12957</v>
      </c>
      <c r="G99" s="119">
        <f t="shared" si="3"/>
        <v>15289.259999999998</v>
      </c>
      <c r="H99" s="115"/>
    </row>
    <row r="100" spans="1:8" s="5" customFormat="1" ht="15" customHeight="1">
      <c r="A100" s="306"/>
      <c r="B100" s="354"/>
      <c r="C100" s="301" t="s">
        <v>153</v>
      </c>
      <c r="D100" s="288" t="s">
        <v>7</v>
      </c>
      <c r="E100" s="116" t="s">
        <v>154</v>
      </c>
      <c r="F100" s="119">
        <f>9765+2306+70</f>
        <v>12141</v>
      </c>
      <c r="G100" s="119">
        <f t="shared" si="3"/>
        <v>14326.38</v>
      </c>
      <c r="H100" s="115"/>
    </row>
    <row r="101" spans="1:8" s="5" customFormat="1" ht="18.75" customHeight="1">
      <c r="A101" s="306"/>
      <c r="B101" s="354"/>
      <c r="C101" s="302"/>
      <c r="D101" s="289"/>
      <c r="E101" s="116" t="s">
        <v>155</v>
      </c>
      <c r="F101" s="119">
        <f>11059+2306+70</f>
        <v>13435</v>
      </c>
      <c r="G101" s="119">
        <f t="shared" si="3"/>
        <v>15853.3</v>
      </c>
      <c r="H101" s="115"/>
    </row>
    <row r="102" spans="1:8" s="5" customFormat="1" ht="16.5" customHeight="1">
      <c r="A102" s="306"/>
      <c r="B102" s="354"/>
      <c r="C102" s="301" t="s">
        <v>134</v>
      </c>
      <c r="D102" s="288" t="s">
        <v>7</v>
      </c>
      <c r="E102" s="116" t="s">
        <v>154</v>
      </c>
      <c r="F102" s="119">
        <f>10209+2306+70</f>
        <v>12585</v>
      </c>
      <c r="G102" s="119">
        <f t="shared" si="3"/>
        <v>14850.3</v>
      </c>
      <c r="H102" s="115"/>
    </row>
    <row r="103" spans="1:8" s="5" customFormat="1" ht="19.5" customHeight="1">
      <c r="A103" s="306"/>
      <c r="B103" s="354"/>
      <c r="C103" s="302"/>
      <c r="D103" s="289"/>
      <c r="E103" s="116" t="s">
        <v>155</v>
      </c>
      <c r="F103" s="119">
        <f>11537+2306+70</f>
        <v>13913</v>
      </c>
      <c r="G103" s="119">
        <f t="shared" si="3"/>
        <v>16417.34</v>
      </c>
      <c r="H103" s="115"/>
    </row>
    <row r="104" spans="1:8" s="5" customFormat="1" ht="15.75">
      <c r="A104" s="306"/>
      <c r="B104" s="354"/>
      <c r="C104" s="290" t="s">
        <v>93</v>
      </c>
      <c r="D104" s="288" t="s">
        <v>7</v>
      </c>
      <c r="E104" s="116" t="s">
        <v>154</v>
      </c>
      <c r="F104" s="119">
        <f>9866+2306+70</f>
        <v>12242</v>
      </c>
      <c r="G104" s="119">
        <f t="shared" si="3"/>
        <v>14445.56</v>
      </c>
      <c r="H104" s="115"/>
    </row>
    <row r="105" spans="1:8" s="5" customFormat="1" ht="15.75">
      <c r="A105" s="306"/>
      <c r="B105" s="354"/>
      <c r="C105" s="291"/>
      <c r="D105" s="289"/>
      <c r="E105" s="116" t="s">
        <v>155</v>
      </c>
      <c r="F105" s="120">
        <f>10890+2306+70</f>
        <v>13266</v>
      </c>
      <c r="G105" s="119">
        <f t="shared" si="3"/>
        <v>15653.88</v>
      </c>
      <c r="H105" s="115"/>
    </row>
    <row r="106" spans="1:8" s="5" customFormat="1" ht="17.25" customHeight="1">
      <c r="A106" s="306"/>
      <c r="B106" s="354"/>
      <c r="C106" s="327" t="s">
        <v>94</v>
      </c>
      <c r="D106" s="329" t="s">
        <v>7</v>
      </c>
      <c r="E106" s="187" t="s">
        <v>154</v>
      </c>
      <c r="F106" s="188">
        <f>10754+2306+70</f>
        <v>13130</v>
      </c>
      <c r="G106" s="189">
        <f t="shared" si="3"/>
        <v>15493.4</v>
      </c>
      <c r="H106" s="115"/>
    </row>
    <row r="107" spans="1:8" s="5" customFormat="1" ht="20.25" customHeight="1">
      <c r="A107" s="306"/>
      <c r="B107" s="354"/>
      <c r="C107" s="328"/>
      <c r="D107" s="330"/>
      <c r="E107" s="185" t="s">
        <v>155</v>
      </c>
      <c r="F107" s="186">
        <f>11845+2306+70</f>
        <v>14221</v>
      </c>
      <c r="G107" s="121">
        <f t="shared" si="3"/>
        <v>16780.78</v>
      </c>
      <c r="H107" s="115"/>
    </row>
    <row r="108" spans="1:8" s="5" customFormat="1" ht="15.75">
      <c r="A108" s="306"/>
      <c r="B108" s="354"/>
      <c r="C108" s="290" t="s">
        <v>95</v>
      </c>
      <c r="D108" s="288" t="s">
        <v>7</v>
      </c>
      <c r="E108" s="116" t="s">
        <v>154</v>
      </c>
      <c r="F108" s="119">
        <f>11198+2306+70</f>
        <v>13574</v>
      </c>
      <c r="G108" s="119">
        <f t="shared" si="3"/>
        <v>16017.32</v>
      </c>
      <c r="H108" s="115"/>
    </row>
    <row r="109" spans="1:8" s="5" customFormat="1" ht="19.5" customHeight="1">
      <c r="A109" s="306"/>
      <c r="B109" s="354"/>
      <c r="C109" s="291"/>
      <c r="D109" s="289"/>
      <c r="E109" s="116" t="s">
        <v>155</v>
      </c>
      <c r="F109" s="119">
        <f>12322+2306+70</f>
        <v>14698</v>
      </c>
      <c r="G109" s="119">
        <f t="shared" si="3"/>
        <v>17343.64</v>
      </c>
      <c r="H109" s="115"/>
    </row>
    <row r="110" spans="1:8" s="5" customFormat="1" ht="15.75">
      <c r="A110" s="306"/>
      <c r="B110" s="354"/>
      <c r="C110" s="290" t="s">
        <v>96</v>
      </c>
      <c r="D110" s="288" t="s">
        <v>7</v>
      </c>
      <c r="E110" s="116" t="s">
        <v>154</v>
      </c>
      <c r="F110" s="119">
        <f>11641+2306+70</f>
        <v>14017</v>
      </c>
      <c r="G110" s="119">
        <f t="shared" si="3"/>
        <v>16540.059999999998</v>
      </c>
      <c r="H110" s="115"/>
    </row>
    <row r="111" spans="1:8" s="5" customFormat="1" ht="15.75">
      <c r="A111" s="306"/>
      <c r="B111" s="354"/>
      <c r="C111" s="291"/>
      <c r="D111" s="289"/>
      <c r="E111" s="116" t="s">
        <v>155</v>
      </c>
      <c r="F111" s="119">
        <f>12801+2306+70</f>
        <v>15177</v>
      </c>
      <c r="G111" s="119">
        <f t="shared" si="3"/>
        <v>17908.86</v>
      </c>
      <c r="H111" s="115"/>
    </row>
    <row r="112" spans="1:8" s="5" customFormat="1" ht="17.25" customHeight="1">
      <c r="A112" s="306"/>
      <c r="B112" s="354"/>
      <c r="C112" s="301" t="s">
        <v>97</v>
      </c>
      <c r="D112" s="288" t="s">
        <v>7</v>
      </c>
      <c r="E112" s="116" t="s">
        <v>154</v>
      </c>
      <c r="F112" s="119">
        <f>19529+2306+70</f>
        <v>21905</v>
      </c>
      <c r="G112" s="119">
        <f t="shared" si="3"/>
        <v>25847.899999999998</v>
      </c>
      <c r="H112" s="115"/>
    </row>
    <row r="113" spans="1:8" s="5" customFormat="1" ht="22.5" customHeight="1">
      <c r="A113" s="306"/>
      <c r="B113" s="354"/>
      <c r="C113" s="302"/>
      <c r="D113" s="289"/>
      <c r="E113" s="116" t="s">
        <v>155</v>
      </c>
      <c r="F113" s="119">
        <f>21568+2306+70</f>
        <v>23944</v>
      </c>
      <c r="G113" s="119">
        <f t="shared" si="3"/>
        <v>28253.919999999998</v>
      </c>
      <c r="H113" s="115"/>
    </row>
    <row r="114" spans="1:8" s="5" customFormat="1" ht="15" customHeight="1">
      <c r="A114" s="306"/>
      <c r="B114" s="354"/>
      <c r="C114" s="301" t="s">
        <v>98</v>
      </c>
      <c r="D114" s="288" t="s">
        <v>7</v>
      </c>
      <c r="E114" s="116" t="s">
        <v>154</v>
      </c>
      <c r="F114" s="119">
        <f>21305+2306+70</f>
        <v>23681</v>
      </c>
      <c r="G114" s="119">
        <f t="shared" si="3"/>
        <v>27943.579999999998</v>
      </c>
      <c r="H114" s="115"/>
    </row>
    <row r="115" spans="1:8" s="5" customFormat="1" ht="19.5" customHeight="1">
      <c r="A115" s="306"/>
      <c r="B115" s="354"/>
      <c r="C115" s="302"/>
      <c r="D115" s="289"/>
      <c r="E115" s="116" t="s">
        <v>155</v>
      </c>
      <c r="F115" s="119">
        <f>23478+2306+70</f>
        <v>25854</v>
      </c>
      <c r="G115" s="119">
        <f t="shared" si="3"/>
        <v>30507.719999999998</v>
      </c>
      <c r="H115" s="115"/>
    </row>
    <row r="116" spans="1:8" s="5" customFormat="1" ht="18" customHeight="1">
      <c r="A116" s="306"/>
      <c r="B116" s="354"/>
      <c r="C116" s="301" t="s">
        <v>135</v>
      </c>
      <c r="D116" s="288" t="s">
        <v>7</v>
      </c>
      <c r="E116" s="116" t="s">
        <v>154</v>
      </c>
      <c r="F116" s="121">
        <f>28406+2306+70</f>
        <v>30782</v>
      </c>
      <c r="G116" s="119">
        <f t="shared" si="3"/>
        <v>36322.759999999995</v>
      </c>
      <c r="H116" s="115"/>
    </row>
    <row r="117" spans="1:8" s="5" customFormat="1" ht="19.5" customHeight="1">
      <c r="A117" s="307"/>
      <c r="B117" s="354"/>
      <c r="C117" s="302"/>
      <c r="D117" s="289"/>
      <c r="E117" s="116" t="s">
        <v>155</v>
      </c>
      <c r="F117" s="121">
        <f>31121+2306+70</f>
        <v>33497</v>
      </c>
      <c r="G117" s="119">
        <f t="shared" si="3"/>
        <v>39526.46</v>
      </c>
      <c r="H117" s="115"/>
    </row>
    <row r="118" spans="1:8" s="5" customFormat="1" ht="17.25" customHeight="1">
      <c r="A118" s="122"/>
      <c r="B118" s="123"/>
      <c r="C118" s="124"/>
      <c r="D118" s="125"/>
      <c r="E118" s="371" t="s">
        <v>156</v>
      </c>
      <c r="F118" s="372"/>
      <c r="G118" s="372"/>
      <c r="H118" s="373"/>
    </row>
    <row r="119" spans="1:8" s="5" customFormat="1" ht="16.5" customHeight="1">
      <c r="A119" s="122"/>
      <c r="B119" s="123"/>
      <c r="C119" s="124"/>
      <c r="D119" s="125"/>
      <c r="E119" s="371" t="s">
        <v>157</v>
      </c>
      <c r="F119" s="372"/>
      <c r="G119" s="372"/>
      <c r="H119" s="373"/>
    </row>
    <row r="120" spans="1:8" s="5" customFormat="1" ht="21" customHeight="1">
      <c r="A120" s="305">
        <v>2</v>
      </c>
      <c r="B120" s="346" t="s">
        <v>180</v>
      </c>
      <c r="C120" s="295" t="s">
        <v>147</v>
      </c>
      <c r="D120" s="296"/>
      <c r="E120" s="296"/>
      <c r="F120" s="296"/>
      <c r="G120" s="296"/>
      <c r="H120" s="297"/>
    </row>
    <row r="121" spans="1:8" s="5" customFormat="1" ht="15.75" customHeight="1">
      <c r="A121" s="306"/>
      <c r="B121" s="347"/>
      <c r="C121" s="292" t="s">
        <v>6</v>
      </c>
      <c r="D121" s="349" t="s">
        <v>130</v>
      </c>
      <c r="E121" s="116" t="s">
        <v>129</v>
      </c>
      <c r="F121" s="119">
        <f>Лист3!M2</f>
        <v>4411</v>
      </c>
      <c r="G121" s="128">
        <f t="shared" ref="G121:G129" si="4">F121*1.18</f>
        <v>5204.9799999999996</v>
      </c>
      <c r="H121" s="129" t="s">
        <v>127</v>
      </c>
    </row>
    <row r="122" spans="1:8" s="5" customFormat="1" ht="15.75" customHeight="1">
      <c r="A122" s="306"/>
      <c r="B122" s="347"/>
      <c r="C122" s="293"/>
      <c r="D122" s="350"/>
      <c r="E122" s="116" t="s">
        <v>35</v>
      </c>
      <c r="F122" s="119">
        <f>Лист3!M3</f>
        <v>5047</v>
      </c>
      <c r="G122" s="130">
        <f t="shared" si="4"/>
        <v>5955.46</v>
      </c>
      <c r="H122" s="129" t="s">
        <v>128</v>
      </c>
    </row>
    <row r="123" spans="1:8" s="5" customFormat="1" ht="15.75" customHeight="1">
      <c r="A123" s="306"/>
      <c r="B123" s="347"/>
      <c r="C123" s="294"/>
      <c r="D123" s="350"/>
      <c r="E123" s="116" t="s">
        <v>12</v>
      </c>
      <c r="F123" s="119">
        <f>Лист3!M4</f>
        <v>5683</v>
      </c>
      <c r="G123" s="130">
        <f t="shared" si="4"/>
        <v>6705.94</v>
      </c>
      <c r="H123" s="129"/>
    </row>
    <row r="124" spans="1:8" s="5" customFormat="1" ht="15.75" customHeight="1">
      <c r="A124" s="306"/>
      <c r="B124" s="347"/>
      <c r="C124" s="298" t="s">
        <v>15</v>
      </c>
      <c r="D124" s="350"/>
      <c r="E124" s="116" t="s">
        <v>35</v>
      </c>
      <c r="F124" s="119">
        <f>Лист3!M5</f>
        <v>4411</v>
      </c>
      <c r="G124" s="130">
        <f t="shared" si="4"/>
        <v>5204.9799999999996</v>
      </c>
      <c r="H124" s="129" t="s">
        <v>127</v>
      </c>
    </row>
    <row r="125" spans="1:8" s="5" customFormat="1" ht="15.75" customHeight="1">
      <c r="A125" s="306"/>
      <c r="B125" s="347"/>
      <c r="C125" s="299"/>
      <c r="D125" s="350"/>
      <c r="E125" s="116" t="s">
        <v>129</v>
      </c>
      <c r="F125" s="119">
        <f>Лист3!M6</f>
        <v>5047</v>
      </c>
      <c r="G125" s="130">
        <f t="shared" si="4"/>
        <v>5955.46</v>
      </c>
      <c r="H125" s="129" t="s">
        <v>128</v>
      </c>
    </row>
    <row r="126" spans="1:8" s="5" customFormat="1" ht="15.75" customHeight="1">
      <c r="A126" s="306"/>
      <c r="B126" s="347"/>
      <c r="C126" s="300"/>
      <c r="D126" s="350"/>
      <c r="E126" s="116" t="s">
        <v>12</v>
      </c>
      <c r="F126" s="119">
        <f>Лист3!M7</f>
        <v>5683</v>
      </c>
      <c r="G126" s="130">
        <f t="shared" si="4"/>
        <v>6705.94</v>
      </c>
      <c r="H126" s="129"/>
    </row>
    <row r="127" spans="1:8" s="5" customFormat="1" ht="15.75" customHeight="1">
      <c r="A127" s="306"/>
      <c r="B127" s="347"/>
      <c r="C127" s="298" t="s">
        <v>1</v>
      </c>
      <c r="D127" s="350"/>
      <c r="E127" s="116" t="s">
        <v>35</v>
      </c>
      <c r="F127" s="119">
        <f>Лист3!M8</f>
        <v>7577</v>
      </c>
      <c r="G127" s="130">
        <f t="shared" si="4"/>
        <v>8940.8599999999988</v>
      </c>
      <c r="H127" s="129" t="s">
        <v>127</v>
      </c>
    </row>
    <row r="128" spans="1:8" s="5" customFormat="1" ht="15.75" customHeight="1">
      <c r="A128" s="306"/>
      <c r="B128" s="347"/>
      <c r="C128" s="299"/>
      <c r="D128" s="350"/>
      <c r="E128" s="116" t="s">
        <v>35</v>
      </c>
      <c r="F128" s="119">
        <f>Лист3!M9</f>
        <v>8273</v>
      </c>
      <c r="G128" s="130">
        <f t="shared" si="4"/>
        <v>9762.14</v>
      </c>
      <c r="H128" s="129" t="s">
        <v>128</v>
      </c>
    </row>
    <row r="129" spans="1:9" s="5" customFormat="1" ht="15.75" customHeight="1">
      <c r="A129" s="306"/>
      <c r="B129" s="347"/>
      <c r="C129" s="300"/>
      <c r="D129" s="350"/>
      <c r="E129" s="116" t="s">
        <v>12</v>
      </c>
      <c r="F129" s="119">
        <f>Лист3!M10</f>
        <v>8969</v>
      </c>
      <c r="G129" s="130">
        <f t="shared" si="4"/>
        <v>10583.42</v>
      </c>
      <c r="H129" s="129"/>
      <c r="I129" s="11"/>
    </row>
    <row r="130" spans="1:9" s="5" customFormat="1" ht="16.5" customHeight="1">
      <c r="A130" s="306"/>
      <c r="B130" s="347"/>
      <c r="C130" s="292" t="s">
        <v>162</v>
      </c>
      <c r="D130" s="350"/>
      <c r="E130" s="116" t="s">
        <v>129</v>
      </c>
      <c r="F130" s="120">
        <f>Лист3!M44</f>
        <v>4162</v>
      </c>
      <c r="G130" s="131">
        <f t="shared" ref="G130:G135" si="5">F130*1.18</f>
        <v>4911.16</v>
      </c>
      <c r="H130" s="129" t="s">
        <v>127</v>
      </c>
      <c r="I130" s="11"/>
    </row>
    <row r="131" spans="1:9" s="5" customFormat="1" ht="16.5" customHeight="1">
      <c r="A131" s="306"/>
      <c r="B131" s="347"/>
      <c r="C131" s="293"/>
      <c r="D131" s="350"/>
      <c r="E131" s="116" t="s">
        <v>35</v>
      </c>
      <c r="F131" s="120">
        <f>Лист3!M45</f>
        <v>4798</v>
      </c>
      <c r="G131" s="131">
        <f t="shared" si="5"/>
        <v>5661.6399999999994</v>
      </c>
      <c r="H131" s="129" t="s">
        <v>128</v>
      </c>
      <c r="I131" s="11"/>
    </row>
    <row r="132" spans="1:9" s="5" customFormat="1" ht="24.75" customHeight="1">
      <c r="A132" s="306"/>
      <c r="B132" s="347"/>
      <c r="C132" s="294"/>
      <c r="D132" s="350"/>
      <c r="E132" s="116" t="s">
        <v>12</v>
      </c>
      <c r="F132" s="120">
        <f>Лист3!M46</f>
        <v>5434</v>
      </c>
      <c r="G132" s="131">
        <f t="shared" si="5"/>
        <v>6412.12</v>
      </c>
      <c r="H132" s="129"/>
      <c r="I132" s="11"/>
    </row>
    <row r="133" spans="1:9" s="5" customFormat="1" ht="16.5" customHeight="1">
      <c r="A133" s="306"/>
      <c r="B133" s="347"/>
      <c r="C133" s="292" t="s">
        <v>160</v>
      </c>
      <c r="D133" s="350"/>
      <c r="E133" s="116" t="s">
        <v>129</v>
      </c>
      <c r="F133" s="120">
        <f>Лист3!M47</f>
        <v>6314</v>
      </c>
      <c r="G133" s="131">
        <f t="shared" si="5"/>
        <v>7450.5199999999995</v>
      </c>
      <c r="H133" s="129" t="s">
        <v>127</v>
      </c>
      <c r="I133" s="11"/>
    </row>
    <row r="134" spans="1:9" s="5" customFormat="1" ht="16.5" customHeight="1">
      <c r="A134" s="306"/>
      <c r="B134" s="347"/>
      <c r="C134" s="331"/>
      <c r="D134" s="350"/>
      <c r="E134" s="116" t="s">
        <v>35</v>
      </c>
      <c r="F134" s="120">
        <f>Лист3!M48</f>
        <v>7010</v>
      </c>
      <c r="G134" s="131">
        <f t="shared" si="5"/>
        <v>8271.7999999999993</v>
      </c>
      <c r="H134" s="129" t="s">
        <v>128</v>
      </c>
      <c r="I134" s="11"/>
    </row>
    <row r="135" spans="1:9" s="5" customFormat="1" ht="21" customHeight="1">
      <c r="A135" s="307"/>
      <c r="B135" s="348"/>
      <c r="C135" s="332"/>
      <c r="D135" s="350"/>
      <c r="E135" s="132" t="s">
        <v>12</v>
      </c>
      <c r="F135" s="133">
        <f>Лист3!M49</f>
        <v>7706</v>
      </c>
      <c r="G135" s="134">
        <f t="shared" si="5"/>
        <v>9093.08</v>
      </c>
      <c r="H135" s="129"/>
      <c r="I135" s="11"/>
    </row>
    <row r="136" spans="1:9" s="5" customFormat="1" ht="23.25" customHeight="1">
      <c r="A136" s="305">
        <v>3</v>
      </c>
      <c r="B136" s="363" t="s">
        <v>196</v>
      </c>
      <c r="C136" s="135" t="s">
        <v>131</v>
      </c>
      <c r="D136" s="350"/>
      <c r="E136" s="116"/>
      <c r="F136" s="136"/>
      <c r="G136" s="128"/>
      <c r="H136" s="129"/>
      <c r="I136" s="11"/>
    </row>
    <row r="137" spans="1:9" s="5" customFormat="1" ht="15.75" customHeight="1">
      <c r="A137" s="306"/>
      <c r="B137" s="364"/>
      <c r="C137" s="314" t="s">
        <v>22</v>
      </c>
      <c r="D137" s="350"/>
      <c r="E137" s="116" t="s">
        <v>129</v>
      </c>
      <c r="F137" s="120">
        <f>Лист3!M11</f>
        <v>3804</v>
      </c>
      <c r="G137" s="128">
        <f t="shared" ref="G137:G139" si="6">F137*1.18</f>
        <v>4488.7199999999993</v>
      </c>
      <c r="H137" s="129" t="s">
        <v>127</v>
      </c>
      <c r="I137" s="11"/>
    </row>
    <row r="138" spans="1:9" s="5" customFormat="1" ht="15.75" customHeight="1">
      <c r="A138" s="306"/>
      <c r="B138" s="364"/>
      <c r="C138" s="315"/>
      <c r="D138" s="350"/>
      <c r="E138" s="116" t="s">
        <v>35</v>
      </c>
      <c r="F138" s="120">
        <f>Лист3!M12</f>
        <v>4366</v>
      </c>
      <c r="G138" s="128">
        <f t="shared" si="6"/>
        <v>5151.88</v>
      </c>
      <c r="H138" s="129" t="s">
        <v>128</v>
      </c>
      <c r="I138" s="11"/>
    </row>
    <row r="139" spans="1:9" s="5" customFormat="1" ht="18.75" customHeight="1">
      <c r="A139" s="307"/>
      <c r="B139" s="365"/>
      <c r="C139" s="316"/>
      <c r="D139" s="351"/>
      <c r="E139" s="116" t="s">
        <v>12</v>
      </c>
      <c r="F139" s="120">
        <f>Лист3!M13</f>
        <v>4928</v>
      </c>
      <c r="G139" s="128">
        <f t="shared" si="6"/>
        <v>5815.04</v>
      </c>
      <c r="H139" s="129"/>
      <c r="I139" s="11"/>
    </row>
    <row r="140" spans="1:9" s="5" customFormat="1" ht="21.75" customHeight="1">
      <c r="A140" s="137"/>
      <c r="B140" s="123"/>
      <c r="C140" s="359" t="s">
        <v>152</v>
      </c>
      <c r="D140" s="360"/>
      <c r="E140" s="360"/>
      <c r="F140" s="360"/>
      <c r="G140" s="360"/>
      <c r="H140" s="138"/>
    </row>
    <row r="141" spans="1:9" s="5" customFormat="1" ht="19.5" customHeight="1">
      <c r="A141" s="274">
        <v>4</v>
      </c>
      <c r="B141" s="362" t="s">
        <v>172</v>
      </c>
      <c r="C141" s="285" t="s">
        <v>173</v>
      </c>
      <c r="D141" s="286"/>
      <c r="E141" s="286"/>
      <c r="F141" s="286"/>
      <c r="G141" s="286"/>
      <c r="H141" s="287"/>
    </row>
    <row r="142" spans="1:9" s="5" customFormat="1" ht="20.25" customHeight="1">
      <c r="A142" s="275"/>
      <c r="B142" s="321"/>
      <c r="C142" s="292" t="s">
        <v>171</v>
      </c>
      <c r="D142" s="288" t="s">
        <v>51</v>
      </c>
      <c r="E142" s="139" t="s">
        <v>35</v>
      </c>
      <c r="F142" s="181">
        <v>134</v>
      </c>
      <c r="G142" s="181">
        <f>F142*1.18</f>
        <v>158.12</v>
      </c>
      <c r="H142" s="115"/>
    </row>
    <row r="143" spans="1:9" s="5" customFormat="1" ht="24.75" customHeight="1">
      <c r="A143" s="275"/>
      <c r="B143" s="321"/>
      <c r="C143" s="293"/>
      <c r="D143" s="289"/>
      <c r="E143" s="116" t="s">
        <v>12</v>
      </c>
      <c r="F143" s="181">
        <v>231</v>
      </c>
      <c r="G143" s="181">
        <f>F143*1.18</f>
        <v>272.58</v>
      </c>
      <c r="H143" s="115"/>
    </row>
    <row r="144" spans="1:9" s="5" customFormat="1" ht="20.25" customHeight="1">
      <c r="A144" s="275"/>
      <c r="B144" s="321"/>
      <c r="C144" s="293"/>
      <c r="D144" s="178" t="s">
        <v>191</v>
      </c>
      <c r="E144" s="153" t="s">
        <v>108</v>
      </c>
      <c r="F144" s="182">
        <v>1285</v>
      </c>
      <c r="G144" s="182">
        <f>F144*1.18</f>
        <v>1516.3</v>
      </c>
      <c r="H144" s="141"/>
    </row>
    <row r="145" spans="1:44" s="5" customFormat="1" ht="24.75" customHeight="1">
      <c r="A145" s="276"/>
      <c r="B145" s="322"/>
      <c r="C145" s="294"/>
      <c r="D145" s="178" t="s">
        <v>192</v>
      </c>
      <c r="E145" s="153" t="s">
        <v>108</v>
      </c>
      <c r="F145" s="182">
        <v>1928</v>
      </c>
      <c r="G145" s="182">
        <f>F145*1.18</f>
        <v>2275.04</v>
      </c>
      <c r="H145" s="141"/>
    </row>
    <row r="146" spans="1:44" s="5" customFormat="1" ht="16.5" customHeight="1">
      <c r="A146" s="343">
        <v>5</v>
      </c>
      <c r="B146" s="271" t="s">
        <v>174</v>
      </c>
      <c r="C146" s="340" t="s">
        <v>148</v>
      </c>
      <c r="D146" s="341"/>
      <c r="E146" s="342"/>
      <c r="F146" s="140"/>
      <c r="G146" s="140"/>
      <c r="H146" s="141"/>
    </row>
    <row r="147" spans="1:44" s="8" customFormat="1" ht="23.25" customHeight="1">
      <c r="A147" s="343"/>
      <c r="B147" s="272"/>
      <c r="C147" s="356" t="s">
        <v>138</v>
      </c>
      <c r="D147" s="357"/>
      <c r="E147" s="357"/>
      <c r="F147" s="357"/>
      <c r="G147" s="358"/>
      <c r="H147" s="142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</row>
    <row r="148" spans="1:44" s="8" customFormat="1" ht="15.75">
      <c r="A148" s="343"/>
      <c r="B148" s="272"/>
      <c r="C148" s="353" t="s">
        <v>163</v>
      </c>
      <c r="D148" s="352" t="s">
        <v>139</v>
      </c>
      <c r="E148" s="116" t="s">
        <v>129</v>
      </c>
      <c r="F148" s="147">
        <f>Лист3!E2</f>
        <v>635</v>
      </c>
      <c r="G148" s="143">
        <f t="shared" ref="G148:G157" si="7">F148*1.18</f>
        <v>749.3</v>
      </c>
      <c r="H148" s="129" t="s">
        <v>140</v>
      </c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</row>
    <row r="149" spans="1:44" s="8" customFormat="1" ht="15.75">
      <c r="A149" s="343"/>
      <c r="B149" s="272"/>
      <c r="C149" s="353"/>
      <c r="D149" s="352"/>
      <c r="E149" s="116" t="s">
        <v>12</v>
      </c>
      <c r="F149" s="147">
        <f>Лист3!E4</f>
        <v>953</v>
      </c>
      <c r="G149" s="143">
        <f t="shared" si="7"/>
        <v>1124.54</v>
      </c>
      <c r="H149" s="129" t="s">
        <v>140</v>
      </c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</row>
    <row r="150" spans="1:44" s="8" customFormat="1" ht="31.5" customHeight="1">
      <c r="A150" s="343"/>
      <c r="B150" s="272"/>
      <c r="C150" s="170" t="s">
        <v>144</v>
      </c>
      <c r="D150" s="352" t="s">
        <v>139</v>
      </c>
      <c r="E150" s="116" t="s">
        <v>129</v>
      </c>
      <c r="F150" s="147">
        <f>Лист3!E5</f>
        <v>1173</v>
      </c>
      <c r="G150" s="143">
        <f t="shared" si="7"/>
        <v>1384.1399999999999</v>
      </c>
      <c r="H150" s="129" t="s">
        <v>140</v>
      </c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</row>
    <row r="151" spans="1:44" s="8" customFormat="1" ht="21" customHeight="1">
      <c r="A151" s="343"/>
      <c r="B151" s="272"/>
      <c r="C151" s="169" t="s">
        <v>158</v>
      </c>
      <c r="D151" s="336"/>
      <c r="E151" s="132" t="s">
        <v>12</v>
      </c>
      <c r="F151" s="144">
        <f>Лист3!E7</f>
        <v>1521</v>
      </c>
      <c r="G151" s="145">
        <f t="shared" si="7"/>
        <v>1794.78</v>
      </c>
      <c r="H151" s="146" t="s">
        <v>140</v>
      </c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</row>
    <row r="152" spans="1:44" s="8" customFormat="1" ht="31.5">
      <c r="A152" s="343"/>
      <c r="B152" s="272"/>
      <c r="C152" s="172" t="s">
        <v>164</v>
      </c>
      <c r="D152" s="352" t="s">
        <v>4</v>
      </c>
      <c r="E152" s="116" t="s">
        <v>129</v>
      </c>
      <c r="F152" s="147">
        <f>Лист3!E9</f>
        <v>635</v>
      </c>
      <c r="G152" s="143">
        <f t="shared" si="7"/>
        <v>749.3</v>
      </c>
      <c r="H152" s="129" t="s">
        <v>141</v>
      </c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</row>
    <row r="153" spans="1:44" s="8" customFormat="1" ht="31.5">
      <c r="A153" s="343"/>
      <c r="B153" s="272"/>
      <c r="C153" s="312" t="s">
        <v>159</v>
      </c>
      <c r="D153" s="352"/>
      <c r="E153" s="116" t="s">
        <v>35</v>
      </c>
      <c r="F153" s="147">
        <f>Лист3!E10</f>
        <v>953</v>
      </c>
      <c r="G153" s="143">
        <f t="shared" si="7"/>
        <v>1124.54</v>
      </c>
      <c r="H153" s="129" t="s">
        <v>142</v>
      </c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</row>
    <row r="154" spans="1:44" s="8" customFormat="1" ht="24.75" customHeight="1">
      <c r="A154" s="343"/>
      <c r="B154" s="272"/>
      <c r="C154" s="313"/>
      <c r="D154" s="352"/>
      <c r="E154" s="116" t="s">
        <v>12</v>
      </c>
      <c r="F154" s="147">
        <f>Лист3!E11</f>
        <v>953</v>
      </c>
      <c r="G154" s="147">
        <f t="shared" si="7"/>
        <v>1124.54</v>
      </c>
      <c r="H154" s="183" t="s">
        <v>143</v>
      </c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</row>
    <row r="155" spans="1:44" s="8" customFormat="1" ht="37.5" customHeight="1">
      <c r="A155" s="343"/>
      <c r="B155" s="272"/>
      <c r="C155" s="168" t="s">
        <v>144</v>
      </c>
      <c r="D155" s="352" t="s">
        <v>4</v>
      </c>
      <c r="E155" s="116" t="s">
        <v>129</v>
      </c>
      <c r="F155" s="147">
        <f>Лист3!E12</f>
        <v>1173</v>
      </c>
      <c r="G155" s="143">
        <f t="shared" si="7"/>
        <v>1384.1399999999999</v>
      </c>
      <c r="H155" s="129" t="s">
        <v>141</v>
      </c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</row>
    <row r="156" spans="1:44" s="8" customFormat="1" ht="32.25" customHeight="1">
      <c r="A156" s="343"/>
      <c r="B156" s="272"/>
      <c r="C156" s="310" t="s">
        <v>158</v>
      </c>
      <c r="D156" s="352"/>
      <c r="E156" s="116" t="s">
        <v>129</v>
      </c>
      <c r="F156" s="147">
        <f>Лист3!E13</f>
        <v>1521</v>
      </c>
      <c r="G156" s="143">
        <f t="shared" si="7"/>
        <v>1794.78</v>
      </c>
      <c r="H156" s="129" t="s">
        <v>142</v>
      </c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</row>
    <row r="157" spans="1:44" s="8" customFormat="1" ht="21.75" customHeight="1">
      <c r="A157" s="343"/>
      <c r="B157" s="273"/>
      <c r="C157" s="311"/>
      <c r="D157" s="336"/>
      <c r="E157" s="132" t="s">
        <v>12</v>
      </c>
      <c r="F157" s="144">
        <f>Лист3!E14</f>
        <v>1521</v>
      </c>
      <c r="G157" s="145">
        <f t="shared" si="7"/>
        <v>1794.78</v>
      </c>
      <c r="H157" s="184" t="s">
        <v>143</v>
      </c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</row>
    <row r="158" spans="1:44" s="8" customFormat="1" ht="19.5" customHeight="1">
      <c r="A158" s="343"/>
      <c r="B158" s="271" t="s">
        <v>197</v>
      </c>
      <c r="C158" s="361" t="s">
        <v>22</v>
      </c>
      <c r="D158" s="352" t="s">
        <v>4</v>
      </c>
      <c r="E158" s="116" t="s">
        <v>129</v>
      </c>
      <c r="F158" s="147">
        <f>Лист3!E16</f>
        <v>951</v>
      </c>
      <c r="G158" s="143">
        <f>F158*1.18</f>
        <v>1122.1799999999998</v>
      </c>
      <c r="H158" s="129" t="s">
        <v>140</v>
      </c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</row>
    <row r="159" spans="1:44" s="8" customFormat="1" ht="21.75" customHeight="1">
      <c r="A159" s="343"/>
      <c r="B159" s="272"/>
      <c r="C159" s="310"/>
      <c r="D159" s="336"/>
      <c r="E159" s="132" t="s">
        <v>12</v>
      </c>
      <c r="F159" s="144">
        <f>Лист3!E18</f>
        <v>1232</v>
      </c>
      <c r="G159" s="145">
        <f>F159*1.18</f>
        <v>1453.76</v>
      </c>
      <c r="H159" s="146" t="s">
        <v>140</v>
      </c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</row>
    <row r="160" spans="1:44" s="8" customFormat="1" ht="33.75" customHeight="1">
      <c r="A160" s="343"/>
      <c r="B160" s="272"/>
      <c r="C160" s="361" t="s">
        <v>22</v>
      </c>
      <c r="D160" s="352" t="s">
        <v>28</v>
      </c>
      <c r="E160" s="116" t="s">
        <v>129</v>
      </c>
      <c r="F160" s="147">
        <f>Лист3!E20</f>
        <v>951</v>
      </c>
      <c r="G160" s="143">
        <f>F160*1.18</f>
        <v>1122.1799999999998</v>
      </c>
      <c r="H160" s="129" t="s">
        <v>141</v>
      </c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</row>
    <row r="161" spans="1:44" s="8" customFormat="1" ht="31.5">
      <c r="A161" s="343"/>
      <c r="B161" s="272"/>
      <c r="C161" s="361"/>
      <c r="D161" s="352"/>
      <c r="E161" s="116" t="s">
        <v>35</v>
      </c>
      <c r="F161" s="147">
        <f>Лист3!E21</f>
        <v>1232</v>
      </c>
      <c r="G161" s="147">
        <f>F161*1.18</f>
        <v>1453.76</v>
      </c>
      <c r="H161" s="129" t="s">
        <v>142</v>
      </c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</row>
    <row r="162" spans="1:44" s="8" customFormat="1" ht="21" customHeight="1">
      <c r="A162" s="343"/>
      <c r="B162" s="273"/>
      <c r="C162" s="361"/>
      <c r="D162" s="352"/>
      <c r="E162" s="116" t="s">
        <v>12</v>
      </c>
      <c r="F162" s="147">
        <f>Лист3!E22</f>
        <v>1232</v>
      </c>
      <c r="G162" s="143">
        <f>F162*1.18</f>
        <v>1453.76</v>
      </c>
      <c r="H162" s="183" t="s">
        <v>143</v>
      </c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</row>
    <row r="163" spans="1:44" s="8" customFormat="1" ht="18.75" customHeight="1">
      <c r="A163" s="274">
        <v>6</v>
      </c>
      <c r="B163" s="274" t="s">
        <v>175</v>
      </c>
      <c r="C163" s="378" t="s">
        <v>114</v>
      </c>
      <c r="D163" s="378"/>
      <c r="E163" s="378"/>
      <c r="F163" s="378"/>
      <c r="G163" s="378"/>
      <c r="H163" s="378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</row>
    <row r="164" spans="1:44" s="8" customFormat="1" ht="37.5" customHeight="1">
      <c r="A164" s="275"/>
      <c r="B164" s="275"/>
      <c r="C164" s="148" t="s">
        <v>145</v>
      </c>
      <c r="D164" s="127" t="s">
        <v>52</v>
      </c>
      <c r="E164" s="116" t="s">
        <v>31</v>
      </c>
      <c r="F164" s="128">
        <v>518</v>
      </c>
      <c r="G164" s="128">
        <f>F164*1.18</f>
        <v>611.24</v>
      </c>
      <c r="H164" s="339" t="s">
        <v>146</v>
      </c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</row>
    <row r="165" spans="1:44" s="8" customFormat="1" ht="34.5" customHeight="1">
      <c r="A165" s="275"/>
      <c r="B165" s="276"/>
      <c r="C165" s="149" t="s">
        <v>144</v>
      </c>
      <c r="D165" s="127" t="s">
        <v>52</v>
      </c>
      <c r="E165" s="116" t="s">
        <v>31</v>
      </c>
      <c r="F165" s="128">
        <v>570</v>
      </c>
      <c r="G165" s="128">
        <f>F165*1.18</f>
        <v>672.59999999999991</v>
      </c>
      <c r="H165" s="339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</row>
    <row r="166" spans="1:44" s="7" customFormat="1" ht="15.75">
      <c r="A166" s="275"/>
      <c r="B166" s="277" t="s">
        <v>197</v>
      </c>
      <c r="C166" s="310" t="s">
        <v>22</v>
      </c>
      <c r="D166" s="336" t="s">
        <v>52</v>
      </c>
      <c r="E166" s="150" t="s">
        <v>35</v>
      </c>
      <c r="F166" s="151">
        <v>426</v>
      </c>
      <c r="G166" s="151">
        <f t="shared" ref="G166:G167" si="8">F166*1.18</f>
        <v>502.67999999999995</v>
      </c>
      <c r="H166" s="339"/>
    </row>
    <row r="167" spans="1:44" s="7" customFormat="1" ht="15.75">
      <c r="A167" s="275"/>
      <c r="B167" s="278"/>
      <c r="C167" s="311"/>
      <c r="D167" s="337"/>
      <c r="E167" s="152" t="s">
        <v>12</v>
      </c>
      <c r="F167" s="151">
        <v>738</v>
      </c>
      <c r="G167" s="151">
        <f t="shared" si="8"/>
        <v>870.83999999999992</v>
      </c>
      <c r="H167" s="339"/>
    </row>
    <row r="168" spans="1:44" s="5" customFormat="1" ht="19.5" customHeight="1">
      <c r="A168" s="305">
        <v>8</v>
      </c>
      <c r="B168" s="279" t="s">
        <v>176</v>
      </c>
      <c r="C168" s="333" t="s">
        <v>116</v>
      </c>
      <c r="D168" s="334"/>
      <c r="E168" s="334"/>
      <c r="F168" s="334"/>
      <c r="G168" s="334"/>
      <c r="H168" s="335"/>
    </row>
    <row r="169" spans="1:44" s="5" customFormat="1" ht="15.75">
      <c r="A169" s="306"/>
      <c r="B169" s="280"/>
      <c r="C169" s="292" t="s">
        <v>107</v>
      </c>
      <c r="D169" s="324" t="s">
        <v>30</v>
      </c>
      <c r="E169" s="139" t="s">
        <v>31</v>
      </c>
      <c r="F169" s="154">
        <f>Лист3!E24</f>
        <v>589</v>
      </c>
      <c r="G169" s="154">
        <f t="shared" ref="G169:G172" si="9">F169*1.18</f>
        <v>695.02</v>
      </c>
      <c r="H169" s="139" t="s">
        <v>32</v>
      </c>
    </row>
    <row r="170" spans="1:44" s="5" customFormat="1" ht="15.75">
      <c r="A170" s="306"/>
      <c r="B170" s="281"/>
      <c r="C170" s="294"/>
      <c r="D170" s="325"/>
      <c r="E170" s="139" t="s">
        <v>31</v>
      </c>
      <c r="F170" s="154">
        <f>Лист3!E25</f>
        <v>893</v>
      </c>
      <c r="G170" s="154">
        <f t="shared" si="9"/>
        <v>1053.74</v>
      </c>
      <c r="H170" s="116" t="s">
        <v>33</v>
      </c>
    </row>
    <row r="171" spans="1:44" s="5" customFormat="1" ht="15.75">
      <c r="A171" s="306"/>
      <c r="B171" s="282" t="s">
        <v>197</v>
      </c>
      <c r="C171" s="298" t="s">
        <v>34</v>
      </c>
      <c r="D171" s="325"/>
      <c r="E171" s="139" t="s">
        <v>31</v>
      </c>
      <c r="F171" s="154">
        <f>Лист3!E26</f>
        <v>624</v>
      </c>
      <c r="G171" s="154">
        <f t="shared" si="9"/>
        <v>736.31999999999994</v>
      </c>
      <c r="H171" s="139" t="s">
        <v>32</v>
      </c>
    </row>
    <row r="172" spans="1:44" s="5" customFormat="1" ht="15.75">
      <c r="A172" s="307"/>
      <c r="B172" s="283"/>
      <c r="C172" s="300"/>
      <c r="D172" s="326"/>
      <c r="E172" s="139" t="s">
        <v>31</v>
      </c>
      <c r="F172" s="154">
        <f>Лист3!E27</f>
        <v>921</v>
      </c>
      <c r="G172" s="154">
        <f t="shared" si="9"/>
        <v>1086.78</v>
      </c>
      <c r="H172" s="116" t="s">
        <v>33</v>
      </c>
    </row>
    <row r="173" spans="1:44" ht="23.25" customHeight="1">
      <c r="A173" s="303">
        <v>9</v>
      </c>
      <c r="B173" s="308" t="s">
        <v>197</v>
      </c>
      <c r="C173" s="155" t="s">
        <v>115</v>
      </c>
      <c r="D173" s="156"/>
      <c r="E173" s="156"/>
      <c r="F173" s="156"/>
      <c r="G173" s="156"/>
      <c r="H173" s="153"/>
    </row>
    <row r="174" spans="1:44" s="5" customFormat="1" ht="27.75" customHeight="1">
      <c r="A174" s="304"/>
      <c r="B174" s="309"/>
      <c r="C174" s="157" t="s">
        <v>53</v>
      </c>
      <c r="D174" s="127" t="s">
        <v>30</v>
      </c>
      <c r="E174" s="116" t="s">
        <v>31</v>
      </c>
      <c r="F174" s="177">
        <v>1061</v>
      </c>
      <c r="G174" s="158">
        <f>F174*1.18</f>
        <v>1251.98</v>
      </c>
      <c r="H174" s="153"/>
    </row>
    <row r="175" spans="1:44" s="8" customFormat="1" ht="18" customHeight="1">
      <c r="A175" s="274">
        <v>10</v>
      </c>
      <c r="C175" s="285" t="s">
        <v>113</v>
      </c>
      <c r="D175" s="286"/>
      <c r="E175" s="286"/>
      <c r="F175" s="286"/>
      <c r="G175" s="286"/>
      <c r="H175" s="28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</row>
    <row r="176" spans="1:44" s="8" customFormat="1" ht="15.75">
      <c r="A176" s="275"/>
      <c r="B176" s="282" t="s">
        <v>197</v>
      </c>
      <c r="C176" s="298" t="s">
        <v>22</v>
      </c>
      <c r="D176" s="324" t="s">
        <v>52</v>
      </c>
      <c r="E176" s="139" t="s">
        <v>35</v>
      </c>
      <c r="F176" s="159">
        <v>1502</v>
      </c>
      <c r="G176" s="159">
        <f>F176*1.18</f>
        <v>1772.36</v>
      </c>
      <c r="H176" s="160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</row>
    <row r="177" spans="1:44" s="8" customFormat="1" ht="15.75">
      <c r="A177" s="275"/>
      <c r="B177" s="283"/>
      <c r="C177" s="299"/>
      <c r="D177" s="325"/>
      <c r="E177" s="116" t="s">
        <v>12</v>
      </c>
      <c r="F177" s="159">
        <v>1694</v>
      </c>
      <c r="G177" s="159">
        <f>F177*1.18</f>
        <v>1998.9199999999998</v>
      </c>
      <c r="H177" s="160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</row>
    <row r="178" spans="1:44" s="8" customFormat="1" ht="23.25" customHeight="1">
      <c r="A178" s="275"/>
      <c r="B178" s="279" t="s">
        <v>177</v>
      </c>
      <c r="C178" s="180" t="s">
        <v>1</v>
      </c>
      <c r="D178" s="325"/>
      <c r="E178" s="153" t="s">
        <v>31</v>
      </c>
      <c r="F178" s="159">
        <v>1376</v>
      </c>
      <c r="G178" s="159">
        <f>F178*1.18</f>
        <v>1623.6799999999998</v>
      </c>
      <c r="H178" s="160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</row>
    <row r="179" spans="1:44" s="8" customFormat="1" ht="17.25" customHeight="1">
      <c r="A179" s="276"/>
      <c r="B179" s="281"/>
      <c r="C179" s="148" t="s">
        <v>3</v>
      </c>
      <c r="D179" s="326"/>
      <c r="E179" s="153" t="s">
        <v>31</v>
      </c>
      <c r="F179" s="159">
        <v>1166</v>
      </c>
      <c r="G179" s="159">
        <f>F179*1.18</f>
        <v>1375.8799999999999</v>
      </c>
      <c r="H179" s="160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</row>
    <row r="180" spans="1:44" s="8" customFormat="1" ht="21" customHeight="1">
      <c r="A180" s="368">
        <v>11</v>
      </c>
      <c r="B180" s="319" t="s">
        <v>178</v>
      </c>
      <c r="C180" s="376" t="s">
        <v>149</v>
      </c>
      <c r="D180" s="377"/>
      <c r="E180" s="377"/>
      <c r="F180" s="131"/>
      <c r="G180" s="161"/>
      <c r="H180" s="160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</row>
    <row r="181" spans="1:44" s="8" customFormat="1" ht="24.75" customHeight="1">
      <c r="A181" s="369"/>
      <c r="B181" s="320"/>
      <c r="C181" s="174" t="s">
        <v>165</v>
      </c>
      <c r="D181" s="173"/>
      <c r="E181" s="173"/>
      <c r="F181" s="131"/>
      <c r="G181" s="161"/>
      <c r="H181" s="160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</row>
    <row r="182" spans="1:44" s="8" customFormat="1" ht="24.75" customHeight="1">
      <c r="A182" s="369"/>
      <c r="B182" s="321"/>
      <c r="C182" s="126" t="s">
        <v>107</v>
      </c>
      <c r="D182" s="127" t="s">
        <v>108</v>
      </c>
      <c r="E182" s="116" t="s">
        <v>108</v>
      </c>
      <c r="F182" s="128">
        <f>Лист3!E29</f>
        <v>1871</v>
      </c>
      <c r="G182" s="128">
        <f t="shared" ref="G182:G183" si="10">F182*1.18</f>
        <v>2207.7799999999997</v>
      </c>
      <c r="H182" s="160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</row>
    <row r="183" spans="1:44" s="8" customFormat="1" ht="24.75" customHeight="1">
      <c r="A183" s="369"/>
      <c r="B183" s="321"/>
      <c r="C183" s="126" t="s">
        <v>1</v>
      </c>
      <c r="D183" s="127" t="s">
        <v>108</v>
      </c>
      <c r="E183" s="116" t="s">
        <v>108</v>
      </c>
      <c r="F183" s="128">
        <f>Лист3!E31</f>
        <v>2885</v>
      </c>
      <c r="G183" s="128">
        <f t="shared" si="10"/>
        <v>3404.2999999999997</v>
      </c>
      <c r="H183" s="160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</row>
    <row r="184" spans="1:44" s="8" customFormat="1" ht="53.25" customHeight="1">
      <c r="A184" s="370"/>
      <c r="B184" s="322"/>
      <c r="C184" s="171" t="s">
        <v>161</v>
      </c>
      <c r="D184" s="127" t="s">
        <v>109</v>
      </c>
      <c r="E184" s="116" t="s">
        <v>109</v>
      </c>
      <c r="F184" s="128">
        <f>Лист3!E48</f>
        <v>1622</v>
      </c>
      <c r="G184" s="128">
        <f t="shared" ref="G184" si="11">F184*1.18</f>
        <v>1913.9599999999998</v>
      </c>
      <c r="H184" s="160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</row>
    <row r="185" spans="1:44" s="5" customFormat="1" ht="22.5" customHeight="1">
      <c r="A185" s="274">
        <v>12</v>
      </c>
      <c r="B185" s="317" t="s">
        <v>179</v>
      </c>
      <c r="C185" s="162" t="s">
        <v>54</v>
      </c>
      <c r="D185" s="163"/>
      <c r="E185" s="163"/>
      <c r="F185" s="163"/>
      <c r="G185" s="164"/>
      <c r="H185" s="115"/>
    </row>
    <row r="186" spans="1:44" s="5" customFormat="1" ht="28.5" customHeight="1">
      <c r="A186" s="276"/>
      <c r="B186" s="318"/>
      <c r="C186" s="165"/>
      <c r="D186" s="178" t="s">
        <v>55</v>
      </c>
      <c r="E186" s="139"/>
      <c r="F186" s="117">
        <v>2181.91</v>
      </c>
      <c r="G186" s="119">
        <f>F186*1.18</f>
        <v>2574.6537999999996</v>
      </c>
      <c r="H186" s="115"/>
    </row>
    <row r="187" spans="1:44" s="5" customFormat="1" ht="16.5" customHeight="1">
      <c r="A187" s="375">
        <v>13</v>
      </c>
      <c r="B187" s="374" t="s">
        <v>137</v>
      </c>
      <c r="C187" s="366" t="s">
        <v>150</v>
      </c>
      <c r="D187" s="367"/>
      <c r="E187" s="367"/>
      <c r="F187" s="166"/>
      <c r="G187" s="167"/>
      <c r="H187" s="115"/>
    </row>
    <row r="188" spans="1:44" s="5" customFormat="1" ht="18" customHeight="1">
      <c r="A188" s="375"/>
      <c r="B188" s="374"/>
      <c r="C188" s="379" t="s">
        <v>136</v>
      </c>
      <c r="D188" s="379"/>
      <c r="E188" s="379"/>
      <c r="F188" s="379"/>
      <c r="G188" s="379"/>
      <c r="H188" s="115"/>
    </row>
    <row r="189" spans="1:44" s="5" customFormat="1" ht="18" customHeight="1">
      <c r="A189" s="375"/>
      <c r="B189" s="374"/>
      <c r="C189" s="380" t="s">
        <v>3</v>
      </c>
      <c r="D189" s="381" t="s">
        <v>99</v>
      </c>
      <c r="E189" s="116" t="s">
        <v>35</v>
      </c>
      <c r="F189" s="158">
        <v>1543</v>
      </c>
      <c r="G189" s="128">
        <f>F189*1.18</f>
        <v>1820.74</v>
      </c>
      <c r="H189" s="323" t="s">
        <v>100</v>
      </c>
    </row>
    <row r="190" spans="1:44" s="5" customFormat="1" ht="15.75">
      <c r="A190" s="375"/>
      <c r="B190" s="374"/>
      <c r="C190" s="380"/>
      <c r="D190" s="381"/>
      <c r="E190" s="116" t="s">
        <v>12</v>
      </c>
      <c r="F190" s="158">
        <v>1620</v>
      </c>
      <c r="G190" s="128">
        <f t="shared" ref="G190:G192" si="12">F190*1.18</f>
        <v>1911.6</v>
      </c>
      <c r="H190" s="323"/>
    </row>
    <row r="191" spans="1:44" s="5" customFormat="1" ht="19.5" customHeight="1">
      <c r="A191" s="375"/>
      <c r="B191" s="374"/>
      <c r="C191" s="382" t="s">
        <v>22</v>
      </c>
      <c r="D191" s="381"/>
      <c r="E191" s="116" t="s">
        <v>35</v>
      </c>
      <c r="F191" s="158">
        <v>1865</v>
      </c>
      <c r="G191" s="128">
        <f t="shared" si="12"/>
        <v>2200.6999999999998</v>
      </c>
      <c r="H191" s="323" t="s">
        <v>100</v>
      </c>
    </row>
    <row r="192" spans="1:44" s="5" customFormat="1" ht="15.75">
      <c r="A192" s="375"/>
      <c r="B192" s="374"/>
      <c r="C192" s="382"/>
      <c r="D192" s="381"/>
      <c r="E192" s="116" t="s">
        <v>12</v>
      </c>
      <c r="F192" s="158">
        <v>2006</v>
      </c>
      <c r="G192" s="128">
        <f t="shared" si="12"/>
        <v>2367.08</v>
      </c>
      <c r="H192" s="323"/>
    </row>
  </sheetData>
  <mergeCells count="186">
    <mergeCell ref="A141:A145"/>
    <mergeCell ref="C142:C145"/>
    <mergeCell ref="B136:B139"/>
    <mergeCell ref="C187:E187"/>
    <mergeCell ref="B84:B117"/>
    <mergeCell ref="A180:A184"/>
    <mergeCell ref="A13:A117"/>
    <mergeCell ref="E118:H118"/>
    <mergeCell ref="E119:H119"/>
    <mergeCell ref="B187:B192"/>
    <mergeCell ref="A187:A192"/>
    <mergeCell ref="C180:E180"/>
    <mergeCell ref="C160:C162"/>
    <mergeCell ref="A168:A172"/>
    <mergeCell ref="A163:A167"/>
    <mergeCell ref="C163:H163"/>
    <mergeCell ref="C188:G188"/>
    <mergeCell ref="C189:C190"/>
    <mergeCell ref="D189:D192"/>
    <mergeCell ref="H189:H190"/>
    <mergeCell ref="C191:C192"/>
    <mergeCell ref="A185:A186"/>
    <mergeCell ref="F10:H10"/>
    <mergeCell ref="H164:H165"/>
    <mergeCell ref="H166:H167"/>
    <mergeCell ref="C146:E146"/>
    <mergeCell ref="A146:A162"/>
    <mergeCell ref="C12:E12"/>
    <mergeCell ref="B120:B135"/>
    <mergeCell ref="A120:A135"/>
    <mergeCell ref="D121:D139"/>
    <mergeCell ref="D148:D149"/>
    <mergeCell ref="D150:D151"/>
    <mergeCell ref="D152:D154"/>
    <mergeCell ref="C148:C149"/>
    <mergeCell ref="B13:B51"/>
    <mergeCell ref="B52:B69"/>
    <mergeCell ref="B70:B83"/>
    <mergeCell ref="C147:G147"/>
    <mergeCell ref="C140:G140"/>
    <mergeCell ref="C112:C113"/>
    <mergeCell ref="D160:D162"/>
    <mergeCell ref="D155:D157"/>
    <mergeCell ref="C158:C159"/>
    <mergeCell ref="D158:D159"/>
    <mergeCell ref="B141:B145"/>
    <mergeCell ref="B185:B186"/>
    <mergeCell ref="B180:B184"/>
    <mergeCell ref="H191:H192"/>
    <mergeCell ref="C175:H175"/>
    <mergeCell ref="C176:C177"/>
    <mergeCell ref="D176:D179"/>
    <mergeCell ref="C106:C107"/>
    <mergeCell ref="D106:D107"/>
    <mergeCell ref="C108:C109"/>
    <mergeCell ref="D108:D109"/>
    <mergeCell ref="C110:C111"/>
    <mergeCell ref="D110:D111"/>
    <mergeCell ref="D112:D113"/>
    <mergeCell ref="C114:C115"/>
    <mergeCell ref="D114:D115"/>
    <mergeCell ref="C116:C117"/>
    <mergeCell ref="D116:D117"/>
    <mergeCell ref="C133:C135"/>
    <mergeCell ref="C168:H168"/>
    <mergeCell ref="C169:C170"/>
    <mergeCell ref="D169:D172"/>
    <mergeCell ref="C171:C172"/>
    <mergeCell ref="C166:C167"/>
    <mergeCell ref="D166:D167"/>
    <mergeCell ref="C156:C157"/>
    <mergeCell ref="C153:C154"/>
    <mergeCell ref="C137:C139"/>
    <mergeCell ref="C100:C101"/>
    <mergeCell ref="D100:D101"/>
    <mergeCell ref="C102:C103"/>
    <mergeCell ref="D102:D103"/>
    <mergeCell ref="C104:C105"/>
    <mergeCell ref="D104:D105"/>
    <mergeCell ref="C94:C95"/>
    <mergeCell ref="D94:D95"/>
    <mergeCell ref="C96:C97"/>
    <mergeCell ref="D96:D97"/>
    <mergeCell ref="C98:C99"/>
    <mergeCell ref="D98:D99"/>
    <mergeCell ref="C88:C89"/>
    <mergeCell ref="D88:D89"/>
    <mergeCell ref="C90:C91"/>
    <mergeCell ref="D90:D91"/>
    <mergeCell ref="C92:C93"/>
    <mergeCell ref="D92:D93"/>
    <mergeCell ref="C82:C83"/>
    <mergeCell ref="D82:D83"/>
    <mergeCell ref="C84:C85"/>
    <mergeCell ref="D84:D85"/>
    <mergeCell ref="C86:C87"/>
    <mergeCell ref="D86:D87"/>
    <mergeCell ref="C76:C77"/>
    <mergeCell ref="D76:D77"/>
    <mergeCell ref="C78:C79"/>
    <mergeCell ref="D78:D79"/>
    <mergeCell ref="C80:C81"/>
    <mergeCell ref="D80:D81"/>
    <mergeCell ref="D38:D39"/>
    <mergeCell ref="C70:C71"/>
    <mergeCell ref="D70:D71"/>
    <mergeCell ref="C72:C73"/>
    <mergeCell ref="D72:D73"/>
    <mergeCell ref="C74:C75"/>
    <mergeCell ref="D74:D75"/>
    <mergeCell ref="C66:C67"/>
    <mergeCell ref="D66:D67"/>
    <mergeCell ref="C68:C69"/>
    <mergeCell ref="D68:D69"/>
    <mergeCell ref="A175:A179"/>
    <mergeCell ref="A136:A139"/>
    <mergeCell ref="B173:B174"/>
    <mergeCell ref="C30:C31"/>
    <mergeCell ref="D30:D31"/>
    <mergeCell ref="C32:C33"/>
    <mergeCell ref="D32:D33"/>
    <mergeCell ref="C52:C53"/>
    <mergeCell ref="D52:D53"/>
    <mergeCell ref="C54:C55"/>
    <mergeCell ref="D54:D55"/>
    <mergeCell ref="C56:C57"/>
    <mergeCell ref="D56:D57"/>
    <mergeCell ref="C46:C47"/>
    <mergeCell ref="D46:D47"/>
    <mergeCell ref="C48:C49"/>
    <mergeCell ref="D48:D49"/>
    <mergeCell ref="C50:C51"/>
    <mergeCell ref="D50:D51"/>
    <mergeCell ref="C64:C65"/>
    <mergeCell ref="D64:D65"/>
    <mergeCell ref="C60:C61"/>
    <mergeCell ref="D60:D61"/>
    <mergeCell ref="C62:C63"/>
    <mergeCell ref="C18:C19"/>
    <mergeCell ref="D18:D19"/>
    <mergeCell ref="C20:C21"/>
    <mergeCell ref="D20:D21"/>
    <mergeCell ref="C22:C23"/>
    <mergeCell ref="D22:D23"/>
    <mergeCell ref="C58:C59"/>
    <mergeCell ref="D58:D59"/>
    <mergeCell ref="A173:A174"/>
    <mergeCell ref="D62:D63"/>
    <mergeCell ref="D26:D27"/>
    <mergeCell ref="C28:C29"/>
    <mergeCell ref="D28:D29"/>
    <mergeCell ref="C40:C41"/>
    <mergeCell ref="D40:D41"/>
    <mergeCell ref="C42:C43"/>
    <mergeCell ref="D42:D43"/>
    <mergeCell ref="C44:C45"/>
    <mergeCell ref="D44:D45"/>
    <mergeCell ref="C34:C35"/>
    <mergeCell ref="D34:D35"/>
    <mergeCell ref="C36:C37"/>
    <mergeCell ref="D36:D37"/>
    <mergeCell ref="C38:C39"/>
    <mergeCell ref="B146:B157"/>
    <mergeCell ref="B158:B162"/>
    <mergeCell ref="B163:B165"/>
    <mergeCell ref="B166:B167"/>
    <mergeCell ref="B168:B170"/>
    <mergeCell ref="B171:B172"/>
    <mergeCell ref="B178:B179"/>
    <mergeCell ref="B176:B177"/>
    <mergeCell ref="C8:G8"/>
    <mergeCell ref="C9:H9"/>
    <mergeCell ref="C141:H141"/>
    <mergeCell ref="D142:D143"/>
    <mergeCell ref="C14:C15"/>
    <mergeCell ref="D14:D15"/>
    <mergeCell ref="C16:C17"/>
    <mergeCell ref="D16:D17"/>
    <mergeCell ref="C130:C132"/>
    <mergeCell ref="C120:H120"/>
    <mergeCell ref="C121:C123"/>
    <mergeCell ref="C124:C126"/>
    <mergeCell ref="C127:C129"/>
    <mergeCell ref="C24:C25"/>
    <mergeCell ref="D24:D25"/>
    <mergeCell ref="C26:C27"/>
  </mergeCells>
  <pageMargins left="0.11811023622047245" right="0.11811023622047245" top="0.15748031496062992" bottom="0.15748031496062992" header="7.874015748031496E-2" footer="7.874015748031496E-2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прайс с 1 АПРЕЛЯ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RiabkovaSV</dc:creator>
  <cp:lastModifiedBy>RiabkovaSV</cp:lastModifiedBy>
  <cp:lastPrinted>2018-03-27T07:00:25Z</cp:lastPrinted>
  <dcterms:created xsi:type="dcterms:W3CDTF">2017-03-20T10:41:49Z</dcterms:created>
  <dcterms:modified xsi:type="dcterms:W3CDTF">2018-03-27T07:09:05Z</dcterms:modified>
</cp:coreProperties>
</file>