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8755" windowHeight="12585" activeTab="9"/>
  </bookViews>
  <sheets>
    <sheet name="Курган" sheetId="1" r:id="rId1"/>
    <sheet name="Оренбург" sheetId="2" r:id="rId2"/>
    <sheet name="Челябинск-гр" sheetId="3" r:id="rId3"/>
    <sheet name="Магнитогорск-гр" sheetId="4" r:id="rId4"/>
    <sheet name="Березники" sheetId="5" r:id="rId5"/>
    <sheet name="Блочная" sheetId="6" r:id="rId6"/>
    <sheet name="Войновка" sheetId="7" r:id="rId7"/>
    <sheet name="Екатеринбург" sheetId="8" r:id="rId8"/>
    <sheet name="Нижневартовск" sheetId="9" r:id="rId9"/>
    <sheet name="Сургут" sheetId="10" r:id="rId10"/>
    <sheet name="Лист11" sheetId="11" r:id="rId11"/>
  </sheets>
  <externalReferences>
    <externalReference r:id="rId14"/>
  </externalReferences>
  <definedNames/>
  <calcPr fullCalcOnLoad="1"/>
</workbook>
</file>

<file path=xl/sharedStrings.xml><?xml version="1.0" encoding="utf-8"?>
<sst xmlns="http://schemas.openxmlformats.org/spreadsheetml/2006/main" count="3508" uniqueCount="791">
  <si>
    <t>УТВЕРЖДАЮ</t>
  </si>
  <si>
    <t>Директор Уральского филиала</t>
  </si>
  <si>
    <t>ПАО «ТрансКонтейнер»</t>
  </si>
  <si>
    <t>________________  А.А. Кривошапкин</t>
  </si>
  <si>
    <t>ПРАЙС-ЛИСТ</t>
  </si>
  <si>
    <t xml:space="preserve">действующий с 03 февраля 2020 года (стоимость в рублях )    </t>
  </si>
  <si>
    <t>№ п/п</t>
  </si>
  <si>
    <t>Код услуги ЕПУ ТК</t>
  </si>
  <si>
    <t>Наименование работ и услуг</t>
  </si>
  <si>
    <t>Единицы измерения</t>
  </si>
  <si>
    <t xml:space="preserve">Типоразмер контейнера </t>
  </si>
  <si>
    <t>Стоимость услуги               (без НДС)</t>
  </si>
  <si>
    <t xml:space="preserve">Стоимость услуги                        с НДС 20% </t>
  </si>
  <si>
    <t>Примечание</t>
  </si>
  <si>
    <t>1. Комплексные транспортно-экспедиционные услуги</t>
  </si>
  <si>
    <t>1.01.</t>
  </si>
  <si>
    <t xml:space="preserve"> Комплексное транспортно-экспедиторское обслуживание на маршруте перевозки контейнеров/грузов.</t>
  </si>
  <si>
    <t>1</t>
  </si>
  <si>
    <t>1.01.01.</t>
  </si>
  <si>
    <t>Комплексное транспортно-экспедиторское обслуживание на маршруте перевозки контейнеров/грузов</t>
  </si>
  <si>
    <t>контейнер</t>
  </si>
  <si>
    <t>20 фут</t>
  </si>
  <si>
    <t>расчетная</t>
  </si>
  <si>
    <t>Рассчитывается согласно указанной в Заказе информации на перевозку и зависит от направления, расстояния перевозки, грузоподъемности контейнера, стоимости груза и иных условий перевозки и включает в себя услуги разделов 1.02.01 - 1.02.05</t>
  </si>
  <si>
    <t>40 фут</t>
  </si>
  <si>
    <t>вагон</t>
  </si>
  <si>
    <t>2</t>
  </si>
  <si>
    <t>1.02.01.</t>
  </si>
  <si>
    <t>Организация  перевозки контейнеров/грузов железнодорожным транспортом</t>
  </si>
  <si>
    <t>Рассчитывается согласно указанной в Заказе информации на перевозку и зависит от направления, расстояния перевозки, грузоподъемности контейнера, стоимости груза и иных условий перевозки</t>
  </si>
  <si>
    <t>3</t>
  </si>
  <si>
    <t>1.02.02.</t>
  </si>
  <si>
    <t xml:space="preserve"> Организация перевозки контейнеров/грузов морским (речным) транспортом</t>
  </si>
  <si>
    <t>4</t>
  </si>
  <si>
    <t>1.02.03</t>
  </si>
  <si>
    <t>Организация перевозки контейнеров/грузов автомобильным транспортом.</t>
  </si>
  <si>
    <t>Зона №1 (расстояние от 0 до 5 км)</t>
  </si>
  <si>
    <t>Зона № 2 (расстояние от 6 до 10 км)</t>
  </si>
  <si>
    <t>Зона № 3 (расстояние от 11 до 15 км)</t>
  </si>
  <si>
    <t>Зона № 4 (расстояние от 16 до 20 км)</t>
  </si>
  <si>
    <t>Зона №5 (расстояние от 21 до 25 км)</t>
  </si>
  <si>
    <t>Зона № 6 (расстояние от 26 до 30 км)</t>
  </si>
  <si>
    <t>Зона № 7 (расстояние от 31 до 75 км)</t>
  </si>
  <si>
    <t>Зона № 8 (расстояние от 76 до 120 км)</t>
  </si>
  <si>
    <t>Зона № 9 (расстояние от 121 до 160 км)</t>
  </si>
  <si>
    <t>Зона № 10 (расстояние от 161 до 200 км)</t>
  </si>
  <si>
    <t>Зона № 11 (расстояние от 201 до 240 км)</t>
  </si>
  <si>
    <t>Зона № 12 (расстояние от 241 до 300 км)</t>
  </si>
  <si>
    <t>Зона № 13 (расстояние от 301 до 350 км)</t>
  </si>
  <si>
    <t>Зона № 14 (расстояние от 351 до 400 км)</t>
  </si>
  <si>
    <t>5</t>
  </si>
  <si>
    <t>1.02.04.</t>
  </si>
  <si>
    <t>Организация обработки контейнеров/грузов на терминалах/в портах/в депо</t>
  </si>
  <si>
    <t>Организация обработки контейнеров/грузов на терминалах/в портах/в депо (контейнер ПАО "ТрансКонтейнер")</t>
  </si>
  <si>
    <t>Вес брутто до 24 тн</t>
  </si>
  <si>
    <t>Вес брутто более 24 тн</t>
  </si>
  <si>
    <t>Организация обработки контейнеров/грузов на терминалах/в портах/в депо (контейнер иной собственности)</t>
  </si>
  <si>
    <t xml:space="preserve"> для порожних контейнеров</t>
  </si>
  <si>
    <t>6</t>
  </si>
  <si>
    <t>1.02.05.</t>
  </si>
  <si>
    <t>Организация обработки контейнеров/грузов при мультимодальной перевозке</t>
  </si>
  <si>
    <t xml:space="preserve"> 2. Дополнительные транспортно-экспедиторские услуги.</t>
  </si>
  <si>
    <t>2.01.</t>
  </si>
  <si>
    <t xml:space="preserve"> Оперирование подвижным составом и парком контейнеров</t>
  </si>
  <si>
    <t>2.01.01.</t>
  </si>
  <si>
    <t>Предоставление вагона/контейнера иного собственника для перевозки груза</t>
  </si>
  <si>
    <t>2.01.03.</t>
  </si>
  <si>
    <t>Предоставление вагона/ контейнера для дополнительных операций, связанных с перевозкой грузов/ контейнеров.</t>
  </si>
  <si>
    <t>конт.*сутки</t>
  </si>
  <si>
    <t>В случае   использования контейнеров собственности железнодорожных администраций стран СНГ ставка пользования контейнером расчитывается в соответствии с Тарифным руководством ОАО "РЖД".</t>
  </si>
  <si>
    <t>ваг*сутки</t>
  </si>
  <si>
    <t xml:space="preserve">20 фут </t>
  </si>
  <si>
    <t>134,00</t>
  </si>
  <si>
    <t>Ставка по предоставлению контейнера за исключением Предоставления контейнера на территориях стран КНР (в том числе Тайвань), КНДР, Республики Корея, Японии, Социалистической Республики Вьетнам, Таиланда, Республики Индии, при этом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</si>
  <si>
    <t>231,00</t>
  </si>
  <si>
    <t>Ставка по предоставлению контейнера за первые - пятые сутки при Предоставлении контейнера на территориях стран КНР (в том числе Тайвань), КНДР, Республики Корея, Японии, Социалистической Республики Вьетнам, Таиланда, Республики Индии, при этом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</si>
  <si>
    <t>20 фут.</t>
  </si>
  <si>
    <t>Ставка по предоставлению контейнера за шестые и последующие сутки при Предоставлении контейнера на территориях стран КНР (в том числе Тайвань), КНДР, Республики Корея, Японии, Социалистической Республики Вьетнам, Таиланда, Республики Индии, при этом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</si>
  <si>
    <t xml:space="preserve"> Ставка по  предоставлению вагона за шестые и последующие сутки,при этом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</si>
  <si>
    <t>2.01.04</t>
  </si>
  <si>
    <t>Прочие услуги, связанные с оперированием</t>
  </si>
  <si>
    <t>2.02.</t>
  </si>
  <si>
    <t>Услуги терминалов, портов, депо:</t>
  </si>
  <si>
    <t>2.02.01.</t>
  </si>
  <si>
    <t>Дополнительные погрузочно-разгрузочные работы с контейнерами/грузами</t>
  </si>
  <si>
    <t xml:space="preserve"> </t>
  </si>
  <si>
    <t xml:space="preserve">Дополнительные погрузочно-разгрузочные работы с гружеными контейнерами/грузами  </t>
  </si>
  <si>
    <t>конт*опер</t>
  </si>
  <si>
    <t xml:space="preserve">Вес брутто до 24 тн.  Ставка за 1контейнеро-операцию погрузочно-разгрузочных работ КТК 20 фут. до 24 тн. (брутто не выше 24тн) - применяется, в том числе и на груженые контейнеры 20 ф. до 30тн фактический вес брутто которого не превышает 24тн.     </t>
  </si>
  <si>
    <t xml:space="preserve"> Дополнительные погрузочно-разгрузочные работы с гружеными контейнерами/грузами  (вес брутто свыше 24 тн)</t>
  </si>
  <si>
    <t>Вес брутто свыше 24 тн</t>
  </si>
  <si>
    <t xml:space="preserve">Дополнительные погрузочно-разгрузочные работы с порожними контейнерами/грузами </t>
  </si>
  <si>
    <t xml:space="preserve">Дополнительные погрузочно-разгрузочные работы с гружеными контейнерами/грузами </t>
  </si>
  <si>
    <t>2.02.02.</t>
  </si>
  <si>
    <t>Хранение контейнеров/грузов</t>
  </si>
  <si>
    <t>Хранение на открытой площадке</t>
  </si>
  <si>
    <t>конт*суток</t>
  </si>
  <si>
    <t>20 фут, СТК</t>
  </si>
  <si>
    <t>Услуга начисляется в случае хранения порожних контейнеров Клиента. Неполные сутки  свыше 1 (одного) часа округляются до полных.</t>
  </si>
  <si>
    <t>Хранение на СВХ/ЗТК</t>
  </si>
  <si>
    <t>СТК</t>
  </si>
  <si>
    <t>Оплачиваемое  время нахождения контейнера  на ВЗТК ПАО "ТрансКонтейнер»  исчисляется  с ноля часов дня следующего за днем завершения ТПТТ таможенным органом до момента предьявления Клиентом перевозочных  документов  с отметкой о выпуске товара. В случае направления товара на иное СВХ оплачиваемое время исчисляется  с ноля часов дня следующего за днем завершения ТПТТ таможенным органом до момента вывоза  контейнера с Контейнерного терминала. Неполные сутки свыше 1 (одного) часа округляются до полных.</t>
  </si>
  <si>
    <t xml:space="preserve"> Услуга начисляется в случае хранения порожних контейнеров Клиента. Неполные сутки  свыше 1 (одного) часа округляются до полных.</t>
  </si>
  <si>
    <t>Оплачиваемое  время нахождения контейнера  на СВХ/ВЗТК ПАО "ТрансКонтейнер»  исчисляется  с ноля часов дня следующего за днем завершения ТПТТ таможенным органом до 24 часов дня предъявления Клиентом перевозочных  документов  с отметкой о выпуске товара.
В случае направления товара на иное оплачиваемое время исчисляется  с ноля часов дня следующего за днем завершения ТПТТ таможенным органом до до 24 часов дня вывоза контейнера с Контейнерного терминала. Неполные сутки свыше 1 (одного) часа округляются до полных.</t>
  </si>
  <si>
    <t xml:space="preserve">Хранение на открытой площадке </t>
  </si>
  <si>
    <t>все типы контейнеров</t>
  </si>
  <si>
    <t xml:space="preserve">  Услуга начисляется за фактическое время нахождения контейнера  на  сторонних терминалах портов, рассчитывается по ставкам соисполнителей.</t>
  </si>
  <si>
    <t>2.02.04.</t>
  </si>
  <si>
    <t>Предоставление запорно-пломбировочного устройства</t>
  </si>
  <si>
    <t>количество (типовое)</t>
  </si>
  <si>
    <t>"Клещ-60СЦ"</t>
  </si>
  <si>
    <t>"Закрутка"</t>
  </si>
  <si>
    <t>2.02.05.</t>
  </si>
  <si>
    <t>Дооборудование контейнера</t>
  </si>
  <si>
    <t xml:space="preserve">Установка щита заграждения  </t>
  </si>
  <si>
    <t>40 фут.</t>
  </si>
  <si>
    <t>2.02.07.</t>
  </si>
  <si>
    <t>Оформление документов по открытию/закрытию процедуры таможенного транзита</t>
  </si>
  <si>
    <t>документ</t>
  </si>
  <si>
    <t>2.02.08</t>
  </si>
  <si>
    <t>Услуги по обработке грузов, находящихся под таможенным контролем на СВХ (ЗТК)</t>
  </si>
  <si>
    <t>Доставка документов в таможенные органы</t>
  </si>
  <si>
    <t>2.02.10.</t>
  </si>
  <si>
    <t xml:space="preserve"> Прочие услуги терминалов/портов/депо;</t>
  </si>
  <si>
    <t xml:space="preserve">Услуга применяется при использовании контейнерной площадки для погрузки/выгрузки груза на территории контейнерного терминала. </t>
  </si>
  <si>
    <t>Отправление документов заказной корреспонденцией по просьбе Заказчика 1 конверт почтой России</t>
  </si>
  <si>
    <t>Ставка расчетная</t>
  </si>
  <si>
    <t>отправка экспресс - почты</t>
  </si>
  <si>
    <t>Внесение по инициативе грузоотправителя или организации, осуществляющей перевалку грузов, изменений в принятые заявки на перевозки грузов. Расчитывается и взыскивается согласнотарифного руководства №1,2,3 и/или на основании других нормативных документов ОАО"РЖД"</t>
  </si>
  <si>
    <t>2.03.</t>
  </si>
  <si>
    <t>Платежно-финансовые и прочие экспедиторские услуги:</t>
  </si>
  <si>
    <t>17</t>
  </si>
  <si>
    <t>2.03.01.</t>
  </si>
  <si>
    <t>Организация перевозки груза на особых условиях</t>
  </si>
  <si>
    <t>Ставка расчётная</t>
  </si>
  <si>
    <t>18</t>
  </si>
  <si>
    <t>2.03.03.</t>
  </si>
  <si>
    <t>Организация подачи/уборки вагонов</t>
  </si>
  <si>
    <t>19</t>
  </si>
  <si>
    <t>2.03.04.</t>
  </si>
  <si>
    <t>Организация переадресовки груза</t>
  </si>
  <si>
    <t>Стоимость услуги рассчитывается и взыскивается согласно нормативных документов ОАО "РЖД"</t>
  </si>
  <si>
    <t>2.03.05.</t>
  </si>
  <si>
    <t>Осуществление расчетных операций за сопровождение и охрану груза в пути следования железнодорожным транспортом</t>
  </si>
  <si>
    <t>2.03.06.</t>
  </si>
  <si>
    <t>Осуществление расчетных операций за нахождение вагонов на железнодорожных путях</t>
  </si>
  <si>
    <t>2.03.07</t>
  </si>
  <si>
    <t>Разработка и/или согласование схем, эскизов, чертежей погрузки груза (Эскиз)</t>
  </si>
  <si>
    <t>Эскиз</t>
  </si>
  <si>
    <t>2.03.08.</t>
  </si>
  <si>
    <t xml:space="preserve"> Прочие платежно-финансовые и иные экспедиторские услуги.</t>
  </si>
  <si>
    <t>количество типовое</t>
  </si>
  <si>
    <t>20 фут,40 фут</t>
  </si>
  <si>
    <t xml:space="preserve">Выдача справок о стоимости услуг </t>
  </si>
  <si>
    <t>2.03.09</t>
  </si>
  <si>
    <t xml:space="preserve"> Оформление за Клиента в информационных системах заказа на транспортно-экспедиторские услуги.</t>
  </si>
  <si>
    <t>-</t>
  </si>
  <si>
    <t>2.04.</t>
  </si>
  <si>
    <t>Автотранспортные услуги</t>
  </si>
  <si>
    <t>2.04.01.</t>
  </si>
  <si>
    <t>Работа автомобиля сверх норматива.</t>
  </si>
  <si>
    <t>конт.*часов</t>
  </si>
  <si>
    <t xml:space="preserve"> Простой автотранспорта сверх нормы до 15 мин не учитывается, свыше 15 минут взыскивается как за полный  час</t>
  </si>
  <si>
    <t>2.04.02.</t>
  </si>
  <si>
    <t>Пользование полуприцепом сверх норматива</t>
  </si>
  <si>
    <t>При оказании услуги по завозу/вывозу с отцепом на складе грузополучателя/грузоотправителя плата за пользование полуприцепом начисляется с момента окончания норм времени на погрузку/выгрузку груза на складе Клиента до момента уведомления ТрансКонтейнер по телефону 8(3522) 49-78-74 о завершении погрузки/выгрузки</t>
  </si>
  <si>
    <t>Согласовано:</t>
  </si>
  <si>
    <t>Первый заместитель директора филиала</t>
  </si>
  <si>
    <t>И.Н. Алексеева</t>
  </si>
  <si>
    <t>Начальник отдела продаж транспортных услуг</t>
  </si>
  <si>
    <t>Е.А. Нецеля</t>
  </si>
  <si>
    <t>Начальник отдела логистики</t>
  </si>
  <si>
    <t>Н.В. Буиклы</t>
  </si>
  <si>
    <t>Начальник планово - экономического отдела</t>
  </si>
  <si>
    <t>Н.Б Можарова</t>
  </si>
  <si>
    <t>Начальник Контейнерного терминала Курган</t>
  </si>
  <si>
    <t>А.В. Дудин</t>
  </si>
  <si>
    <t xml:space="preserve"> Комплексное транспортно-экспедиторское обслуживание на маршруте перевозки. </t>
  </si>
  <si>
    <t>Рассчитывается согласно указанной в Заказе информации на перевозку и зависит от направления, расстояния перевозки и  грузоподъемности контейнера, а также включает в себя услуги из раздела 1.02.01 - 1.02.05</t>
  </si>
  <si>
    <t>Рассчитывается согласно указанной в Заказе информации на перевозку и зависит от направления, расстояния перевозки и  грузоподъемности контейнера.</t>
  </si>
  <si>
    <t>Зона №1 (расстояние от 0 до 5км)</t>
  </si>
  <si>
    <t>Зона № 2 (расстояние от 6 до 10км)</t>
  </si>
  <si>
    <t>Зона № 3 (расстояние от 11 до 15км)</t>
  </si>
  <si>
    <t>Зона №5 (расстояние от 21 до 25км)</t>
  </si>
  <si>
    <t>Зона № 6 (расстояние от 26 до 30км)</t>
  </si>
  <si>
    <t>Зона № 7 (расстояние от 31 до 35 км)</t>
  </si>
  <si>
    <t>Зона № 8 (расстояние от 36 до 40км)</t>
  </si>
  <si>
    <t>Зона № 9 (расстояние от 41 до 45 км)</t>
  </si>
  <si>
    <t>Зона № 10 (расстояние от 46 до 50км)</t>
  </si>
  <si>
    <t>Зона № 11 (расстояние от 51 до 80км)</t>
  </si>
  <si>
    <t>Зона № 12 (расстояние от 81 до 115км)</t>
  </si>
  <si>
    <t>Зона № 13 (расстояние от 116 до 150км)</t>
  </si>
  <si>
    <t>Зона № 14 (расстояние от 151 до 185км)</t>
  </si>
  <si>
    <t>Зона № 15 (расстояние от 186 до 220км)</t>
  </si>
  <si>
    <t>Зона № 16 (расстояние от 221 до 255км)</t>
  </si>
  <si>
    <t>Зона № 17 (расстояние от 255 до 290км)</t>
  </si>
  <si>
    <t>Зона № 18 (расстояние от 291 до 325км)</t>
  </si>
  <si>
    <t>Зона № 19 (расстояние от 326 до 360км)</t>
  </si>
  <si>
    <t>Зона № 20 (расстояние от 361 до 410км)</t>
  </si>
  <si>
    <t>Зона № 21 (расстояние от 411 до 460км)</t>
  </si>
  <si>
    <t>Зона № 22 (расстояние от 461 до 510км)</t>
  </si>
  <si>
    <t>Зона № 23 (расстояние от 511 до 560км)</t>
  </si>
  <si>
    <t>Зона № 24 (расстояние от 561 до 610км)</t>
  </si>
  <si>
    <t>Промывочный комплекс</t>
  </si>
  <si>
    <t>Организация обработки контейнеров/грузов</t>
  </si>
  <si>
    <t>порожний</t>
  </si>
  <si>
    <t>7</t>
  </si>
  <si>
    <t>8</t>
  </si>
  <si>
    <t xml:space="preserve">Ставки применяются в отношении контейнеров, предоставляемых для перевозки воинских  грузов по форме-2, в том числе грузов для личных бытовых нужд военнослужащих и объявлены договором оферты РЖД.  В случае   использования контейнеров собственности железнодорожных администраций стран СНГ ставка пользования контейнером расчитывается в соответствии с Тарифным руководством ОАО "РЖД".
</t>
  </si>
  <si>
    <t>Ставка по предоставлению контейнера за первые - пятые сутки при   Предоставлении контейнера на территориях стран КНР (в том числе Тайвань), КНДР, Республики Корея, Японии, Социалистической Республики Вьетнам, Таиланда, Республики Индии, при этом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</si>
  <si>
    <t>вагон.*сутки</t>
  </si>
  <si>
    <t>Ставка по предоставлению вагона за первые - пятые сутки, при этом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</si>
  <si>
    <t xml:space="preserve"> Ставка по  предоставлению вагона за шестые и последующие сутки,при этом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</si>
  <si>
    <t>9</t>
  </si>
  <si>
    <t>2.01.04.</t>
  </si>
  <si>
    <t xml:space="preserve"> Дополнительные погрузочно-разгрузочные работы с гружеными контейнерами/грузами</t>
  </si>
  <si>
    <t>Ставка за 1контейнеро-операцию погрузочно-разгрузочных работ КТК 20 фут. до 24 тн. (брутто не выше 24тн) - применяется, в том числе и на груженые контейнеры 20 ф. до 30тн фактический вес брутто которых не превышает 24тн.</t>
  </si>
  <si>
    <t>Ставка за 1контейнеро-операцию погрузочно-разгрузочных работ КТК 20фут. до 30 тн. (брутто выше 24тн) - применяется на груженый контейнер 20 фут. 30 тн. фактический вес брутто которого превышает 24тн.</t>
  </si>
  <si>
    <t>Дополнительные погрузочно-разгрузочные работы с гружеными контейнерами/грузами</t>
  </si>
  <si>
    <t>20фут</t>
  </si>
  <si>
    <t>Ставки применяются при хранении грузов/контейнеров в следующих случаях: - по прибытию после истечения срока бесплатного хранения, установленного Уставом ЖДТ РФ; - по отправлению при завозе груза/контейнера ранее назначенного дня погрузки. Сбор начисляется с момента фактического завоза груза/контейнера на терминал до момента приема груза/контейнера  к перевозке, а также после выпуска товара в свободное обращение с ноля часов дня, следующего за предъявлением Клиентом перевозочного документа с отметкой таможенного органа "Выпуск разрешен". Неполные сутки свыше 1(одного) часа округляются до полных.</t>
  </si>
  <si>
    <t>40фут</t>
  </si>
  <si>
    <t>Оплачиваемое  время нахождения контейнера  в ЗТК/СВХ ПАО "ТрансКонтейнер»  исчисляется  с ноля часов дня следующего за днем завершения ТПТТ таможенным органом до момента предьявления Клиентом перевозочных  документов  с отметкой о выпуске товара. В случае направления товара на иное СВХ оплачиваемое время исчисляется  с ноля часов дня следующего за днем завершения ТПТТ таможенным органом до момента вывоза  контейнера с Контейнерного терминала. Неполные сутки свыше 1(одного) часа округляются до полных.</t>
  </si>
  <si>
    <t>2.02.03.</t>
  </si>
  <si>
    <t>Погрузка/выгрузка груза</t>
  </si>
  <si>
    <t>тонн рассчетных</t>
  </si>
  <si>
    <t>Применяется при использовании погрузчика для погрузки/выгрузки пакетированных грузов механическим способом с подсортировкой, масса 1 места до 50кг</t>
  </si>
  <si>
    <t>Применяется при использовании погрузчика для погрузки/выгрузки пакетированных грузов механическим способом без подсортировки, масса 1 места до 50кг</t>
  </si>
  <si>
    <t xml:space="preserve">Клещ-60СЦ </t>
  </si>
  <si>
    <t>Оформление документов по процедуре таможенного транзита</t>
  </si>
  <si>
    <t>Услуга по обработке грузов, находящихся под таможенным контролем на СВХ</t>
  </si>
  <si>
    <t>2.02.08.</t>
  </si>
  <si>
    <t xml:space="preserve"> Услуги по обработке грузов, находящихся под таможенным контролем на СВХ (ЗТК)</t>
  </si>
  <si>
    <t>Доставка документов в таможенные органы силами таможенного представителя</t>
  </si>
  <si>
    <t>Составление документов отчетности по СВХ и ЗТК</t>
  </si>
  <si>
    <t xml:space="preserve">Прочие услуги терминалов/портов/депо </t>
  </si>
  <si>
    <t>Отправление документов заказной корреспонденцией по просьбе Заказчика 1 конверт почтой России.</t>
  </si>
  <si>
    <t>Отправка экспресс-почты.</t>
  </si>
  <si>
    <t>2.03.07.</t>
  </si>
  <si>
    <t>Разработка и/или согласование схем, эскизов, чертежей погрузки груза</t>
  </si>
  <si>
    <t>Услуга применяется за разработку эскиза</t>
  </si>
  <si>
    <t>2.03.08</t>
  </si>
  <si>
    <t>Прочие платежно-финансовые и иные экспедиторские услуги</t>
  </si>
  <si>
    <t>20 фут, 20фут (30т),40фут</t>
  </si>
  <si>
    <t xml:space="preserve">выдача справок о стоимости услуг </t>
  </si>
  <si>
    <t>2.03.09.</t>
  </si>
  <si>
    <t>Простой автотранспорта сверх нормы до 15 минут не учитывается, свыше 15 минут взыскивается как за полный  час.</t>
  </si>
  <si>
    <t xml:space="preserve"> При оказании услуги по завозу/вывозу с отцепом на складе грузополучателя/грузоотправителя плата за пользование полуприцепом начисляется с момента отцепа на складе Клиента до момента передачи уведомления в ТрансКонтейнер по тел. 8(3532)74-30-89 о завершении погрузки/выгрузки без учета норматива времени под загрузкой/ выгрузкой.</t>
  </si>
  <si>
    <t>Согласовано :</t>
  </si>
  <si>
    <t>Начальник Агентства на станции Оренбург</t>
  </si>
  <si>
    <t>В.А. Ворожейкина</t>
  </si>
  <si>
    <t>УТВЕРЖДАЮ:</t>
  </si>
  <si>
    <t>ПАО "ТрансКонтейнер"</t>
  </si>
  <si>
    <t>40 фут, 45 фут</t>
  </si>
  <si>
    <t>Организация  железнодорожной   перевозки контейнеров/грузов железнодорожным транспортом</t>
  </si>
  <si>
    <t>Зона № 0 (расстояние от 0 до 1км)</t>
  </si>
  <si>
    <t>Зона №1 (расстояние от 1 до 5км)</t>
  </si>
  <si>
    <t>Зона № 10 (расстояние от 46 до 55км)</t>
  </si>
  <si>
    <t>Зона № 11 (расстояние от 56 до 65км)</t>
  </si>
  <si>
    <t>Зона № 12 (расстояние от 66 до 75км)</t>
  </si>
  <si>
    <t>Зона № 13 (расстояние от 76 до 85км)</t>
  </si>
  <si>
    <t>Зона № 14 (расстояние от 86 до 95км)</t>
  </si>
  <si>
    <t>Зона № 15 (расстояние от 96 до 105км)</t>
  </si>
  <si>
    <t>Зона № 16 (расстояние от 106 до 115км)</t>
  </si>
  <si>
    <t>Зона № 17 (расстояние от 116 до 125км)</t>
  </si>
  <si>
    <t>Зона № 18 (расстояние от 126 до 135км)</t>
  </si>
  <si>
    <t>Зона № 19 (расстояние от 136 до 145км)</t>
  </si>
  <si>
    <t>Зона № 20 (расстояние от 146 до 170км)</t>
  </si>
  <si>
    <t>Зона № 21 (расстояние от 171 до 195км)</t>
  </si>
  <si>
    <t>Зона № 22 (расстояние от 196 до 220км)</t>
  </si>
  <si>
    <t>Зона № 23 (расстояние от 221 до 245км)</t>
  </si>
  <si>
    <t>Зона № 24 (расстояние от 246 до 270км)</t>
  </si>
  <si>
    <t>Зона № 25 (расстояние от 271 до 295км)</t>
  </si>
  <si>
    <t>Зона № 26 (расстояние от 296 до 320км)</t>
  </si>
  <si>
    <t>Зона № 27 (расстояние от 321 до 345км)</t>
  </si>
  <si>
    <t>Зона № 28 (расстояние от 346 до 400км)</t>
  </si>
  <si>
    <t>Зона № 29 (расстояние от 401 до 450км)</t>
  </si>
  <si>
    <t>Зона № 30 (расстояние от 451 до 500км)</t>
  </si>
  <si>
    <t>Зона № 32 (расстояние от 501 до 550км)</t>
  </si>
  <si>
    <t>Зона № 33 (расстояние от 551 до 600км)</t>
  </si>
  <si>
    <t>Зона № 34 (расстояние от 601 до 650км)</t>
  </si>
  <si>
    <t xml:space="preserve">Зона № 31 (Депо собственников                                                       (от 01 до 10 км) </t>
  </si>
  <si>
    <t>Сдача порожнего контейнера после выгрузки в депо собственника (не на Контейнерный терминал)</t>
  </si>
  <si>
    <t>1.02.04</t>
  </si>
  <si>
    <t>2.01.01</t>
  </si>
  <si>
    <t>40 фут 45 фут</t>
  </si>
  <si>
    <t>2.01.03</t>
  </si>
  <si>
    <t xml:space="preserve">  При предоставлении контейнера на территориях стран КНР ( в том числе Тайвань), КНДР,Республики Корея, Япония, Социалистической республики Вьетнам, Тайланда, Республики Индии ставка по предоставлению контейнера за первые - пятые сутки, при этом фактический объем услуги определяется в соответствии с коммерческими условиями к договору,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</si>
  <si>
    <t xml:space="preserve"> При предоставлении контейнера на территориях стран КНР ( в том числе Тайвань), КНДР, Республики Корея, Япония, Социалистической республики Вьетнам, Тайланда, Республики Индии ставка по  предоставлению вагона за шестые и последующие сутки,при этом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</si>
  <si>
    <t xml:space="preserve">  При предоставлении контейнера на территориях стран КНР ( в том числе Тайвань), КНДР, Республики Корея, Япония, Социалистической республики Вьетнам, Тайланда, Республики Индии ставка по предоставлению контейнера за первые - пятые сутки, при этом фактический объем услуги определяется в соответствии с коммерческими условиями к договору,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</si>
  <si>
    <t>При предоставлении контейнера на территориях стран КНР ( в том числе Тайвань), Республики Корея, Япония, Социалистической республики Вьетнам, Тайланда, Республики Индии ставка по  предоставлению вагона за шестые и последующие сутки,при этом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</si>
  <si>
    <t>При предоставлении контейнера за исключением стран КНР ( в том числе Тайвань), КНДР, Республики Корея, Япония, Социалистической республики Вьетнам, Тайланда, Республики Индии. Фактический объем услуги определяется  в соответствии с коммерческими условиями к договору,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</si>
  <si>
    <t xml:space="preserve">  Ставка по предоставлению вагона за первые - пятые сутки, при этом фактический объем услуги определяется в соответствии с коммерческими условиями к договору,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</si>
  <si>
    <t>Дополнительные погрузочно-разгрузочные работы с гружеными контейнерами/грузами  (вес брутто до 24 тн)</t>
  </si>
  <si>
    <t>Применяется при приеме/выдаче порожних контейнеров Клиента в/из депо (СТОК) при завозе/вывозе автотранспортом.  По прибытию  порожнего контейнера Клиента по железной дороге для сдачи в СТОК,после выгрузки груженого контейнера  Клиента на терминале с дальнейшей сдачей в СТОК,  применяются  ставки для 20фут ктк-817,20 руб., для 40 фут-870,00 руб. с учетом НДС.</t>
  </si>
  <si>
    <t>Услуга начисляется в случае хранения порожних контейнеров Клиента. Неполные сутки свыше 1(одного) часа округляются до полных.</t>
  </si>
  <si>
    <t>С подключением к электропитанию</t>
  </si>
  <si>
    <t>Услуга начисляется в случае хранения порожних контейнеров Клиента. Неполные сутки свыше 1(одного)часа округляются до полных.</t>
  </si>
  <si>
    <t>45 фут</t>
  </si>
  <si>
    <t xml:space="preserve">Оплачиваемое  время нахождения контейнера  в ЗТК/СВХ ПАО "ТрансКонтейнер»  исчисляется  с ноля часов дня следующего за днем завершения ТПТТ таможенным органом до момента предьявления Клиентом перевозочных  документов  с отметкой о выпуске товара. В случае направления товара на иное СВХ оплачиваемое время исчисляется  с ноля часов дня следующего за днем завершения ТПТТ таможенным органом до момента вывоза  контейнера с Контейнерного терминала. Неполные сутки свыше 1 (одного) часа округляются до полных.  </t>
  </si>
  <si>
    <t>тонно/суток</t>
  </si>
  <si>
    <t>Ставка применяется  при хранении груза на контейнерном терминале  в следующих случаях:  по отправлению - при  завозе груза на Контейнерный терминал, в том числе   ранее назначенного дня погрузки   с момента  фактического завоза груза на терминал до момента начала погрузки груза в контейнер;  по прибытию – с момента  фактической выгрузки груза  на Контейнерный терминал до момента вывоза груза с терминала;                 при хранении  не связанном с железнодорожной перевозкой -  с момента завоза груза на  контейнерный терминал до момента вывоза с терминала.
Неполные сутки свыше 1 часа округляются  до полных, неполные тонны округляются до целой тонны.
На хранение не принимаются  опасные, скоропортящиеся, боящиеся внешних атмосферных воздействий грузы.</t>
  </si>
  <si>
    <t>час</t>
  </si>
  <si>
    <t>Контейнер</t>
  </si>
  <si>
    <t xml:space="preserve"> Ставка рассчитана для погрузчика грузоподъемностью до 3 тонн. Услуга оплачивается минимум за 1 час. Время работы погрузчика до 15 мин не учитывается, свыше 15 минут взыскивается как за полный  час.         </t>
  </si>
  <si>
    <t>чел-час</t>
  </si>
  <si>
    <t>Услуги оплачиваются Клиентом минимум за 2 часа. Данная ставка предусматривает работу 1 грузчика в течение 1 часа. Время работы грузчика до 15 мин не учитывается, свыше 15 минут взыскивается как за полный  час.</t>
  </si>
  <si>
    <t>2.02.04</t>
  </si>
  <si>
    <t xml:space="preserve">Предоставление запорно-пломбировочного устройства:                                                                        </t>
  </si>
  <si>
    <t>2.02.05</t>
  </si>
  <si>
    <t xml:space="preserve">Установка щита заграждения. Услуга включает стоимость изготовления одного щита ограждения и его установку   в соответствии с Техническими условиями размещения и крепления грузов в вагонах и контейнерах. </t>
  </si>
  <si>
    <t>Подготовка контейнера под погрузку .Услуга применяется при подготовке контейнера в противопожарном отношении; подбора/ подготовки/ дооборудования контейнера для перевозки определенной номенклатуры грузов; при определении соотвествия контейнера иной собственности требованиям ASEP.</t>
  </si>
  <si>
    <t>2.02.06</t>
  </si>
  <si>
    <t>Взвешивание контейнера/груза</t>
  </si>
  <si>
    <t>тонна</t>
  </si>
  <si>
    <t>Контейнер, вагон</t>
  </si>
  <si>
    <t>2.02.10</t>
  </si>
  <si>
    <t>Очистка контейнера от остатков ранее перевозимого груза.</t>
  </si>
  <si>
    <t>2.02.14.</t>
  </si>
  <si>
    <t>Крепление/раскрепление грузов</t>
  </si>
  <si>
    <t xml:space="preserve">Крепление грузов </t>
  </si>
  <si>
    <t>прочие грузы</t>
  </si>
  <si>
    <t>Крепление грузов</t>
  </si>
  <si>
    <t>автомобиль</t>
  </si>
  <si>
    <t xml:space="preserve">Услуга включает стоимость крепления  одного автомобиля в контейнере  согласно Технических условий размещения и крепления грузов в вагонах и контейнерах специалистами при использовании реквизитов крепления ПАО ТрансКонтейнер.   В случае крепления иного груза в контейнере стоимость услуги будет рассчитана с учетом изготовления и установки необходимых реквизитов крепления в соответствии с Техническими условиями размещения и крепления грузов,  или  с  разработанным, согласованным эскизом на погрузку  и крепление  груза с учетом затраченного на погрузку времени.  </t>
  </si>
  <si>
    <t>Раскрепление грузов</t>
  </si>
  <si>
    <t xml:space="preserve">Услуга включает стоимость раскрепления одного автомобиля в контейнере.  Стоимость раскрепления иных грузов в соответствии с параметрами, указанными в заказе, рассчитывается отдельной калькуляцией. </t>
  </si>
  <si>
    <t>20</t>
  </si>
  <si>
    <t>21</t>
  </si>
  <si>
    <t>2.03.04</t>
  </si>
  <si>
    <t>Организация переадресовки грузов</t>
  </si>
  <si>
    <t>Рассчитывается  и взыскивается  на основании нормативных документов ОАО "РЖД".</t>
  </si>
  <si>
    <t xml:space="preserve">                                                                                 Разработка и/или согласование схем, эскизов, чертежей погрузки груза</t>
  </si>
  <si>
    <t>20 фут, 20фут (30т),40фут,45 фут</t>
  </si>
  <si>
    <t xml:space="preserve"> Оформление за Клиента в информационных системах заказа на транспортно-экспедиционные услуги</t>
  </si>
  <si>
    <t xml:space="preserve"> Простой автотранспорта сверх нормы до 15 минут не учитывается, свыше 15 минут взыскивается как за полный  час.</t>
  </si>
  <si>
    <t xml:space="preserve"> При оказании услуги по завозу/вывозу с отцепом на складе грузополучателя/грузоотправителя плата за пользование полуприцепом начисляется с момента отцепа на складе Клиента до момента передачи уведомления в ТрансКонтейнер по тел. 8(351)262-13-07  о завершении погрузки/выгрузки без учета норматива времени под загрузкой/ выгрузкой.</t>
  </si>
  <si>
    <t>Начальник контейнерного терминала Челябинск-Грузовой</t>
  </si>
  <si>
    <t>А.В.Гайовец</t>
  </si>
  <si>
    <t>Начальник Агентства в городе Челябинск</t>
  </si>
  <si>
    <t>Е.В. Шихова</t>
  </si>
  <si>
    <t xml:space="preserve">действующий с 03 февраля 2020 года  (стоимость в рублях ) </t>
  </si>
  <si>
    <t>Рассчитывается согласно указанной в Заказе информации на перевозку и зависит от направления, расстояния перевозки и грузоподъемности контейнера и включает в себя услуги разделов 1.02.01 - 1.02.06</t>
  </si>
  <si>
    <t>Организация перевозки  контейнеров/грузов железнодорожным транспортом</t>
  </si>
  <si>
    <t>Рассчитывается согласно указанной в Заказе информации на перевозку и зависит от направления, расстояния перевозки и грузоподъемности контейнера.</t>
  </si>
  <si>
    <t xml:space="preserve">  Зона 0 (расстояние от 0 до 2км)</t>
  </si>
  <si>
    <t>Зона № 1 (расстояние от 3 до 5 км)</t>
  </si>
  <si>
    <t>Зона № 3 (расстояние от11 до 15км)</t>
  </si>
  <si>
    <t>Зона № 4 (расстояние от16 до 20 км)</t>
  </si>
  <si>
    <t>Зона № 5 (расстояние от 21 до 25 км)</t>
  </si>
  <si>
    <t>Зона № 8 (расстояние от 36 до 40 км)</t>
  </si>
  <si>
    <t>Зона № 9 (расстояние от 41до 45 км)</t>
  </si>
  <si>
    <t>Зона №10 (расстояние от 46до 50 км)</t>
  </si>
  <si>
    <t>Зона №11 (расстояние от 51до100 км)</t>
  </si>
  <si>
    <t>Зона №12 (расстояние от 101до 125 км)</t>
  </si>
  <si>
    <t>Зона №13 (расстояние от126до150 км)</t>
  </si>
  <si>
    <t>Зона №14 (расстояние от 151 до 200 км)</t>
  </si>
  <si>
    <t>Зона №15 (расстояние от 201до 250 км)</t>
  </si>
  <si>
    <t>Зона №16 (расстояние от 251до3 50 км)</t>
  </si>
  <si>
    <t xml:space="preserve">  Зона №17 </t>
  </si>
  <si>
    <t>Зона 0 (расстояние от 0 до 2км)</t>
  </si>
  <si>
    <t>Зона №10 (расстояние от 46 до 50 км)</t>
  </si>
  <si>
    <t>неконтейнерные грузы</t>
  </si>
  <si>
    <t>1.02.06</t>
  </si>
  <si>
    <t xml:space="preserve">Погрузочно-разгрузочные работы с контейнерами/грузами </t>
  </si>
  <si>
    <t>Погрузочно-разгрузочные работы с контейнерами/грузами собственности ПАО "ТрансКонтейнер"</t>
  </si>
  <si>
    <t xml:space="preserve">Погрузочно-разгрузочные работы с контейнерами/грузами иной собственности </t>
  </si>
  <si>
    <t>для порожних контейнеров</t>
  </si>
  <si>
    <t>697</t>
  </si>
  <si>
    <t>1045</t>
  </si>
  <si>
    <t>1201</t>
  </si>
  <si>
    <t>1802</t>
  </si>
  <si>
    <t>При фактической массе брутто контейнера свыше 24 тонн применяется ставка сбора, установленная для контейнеров размером 40 футов и массой брутто свыше 30 тонн. При переработке 20*фут. контейнеров в порожнем состоянии применяется ставка сбора, установленная для порожних 20*фут. контейнеров массой брутто свыше 10т до 24т.</t>
  </si>
  <si>
    <t>Применяется для приема/выдачи порожних контейнеров в/из стока на терминале ТрансКонтейнер</t>
  </si>
  <si>
    <t xml:space="preserve">Ставки применяются при хранении грузов/контейнеров по прибытию после истечения срока бесплатного хранения, установленного Уставом ЖДТ РФ, а также  по отправлению при завозе груза/контейнера ранее  назначенного дня погрузки. Начисления производятся с момента фактического завоза груза/контейнера на терминал до момента приема груза/контейнера  к перевозке в день, согласованный в заказе.                                                                                   * Неполные сутки (свыше 1 часа) округляются до полных.                               </t>
  </si>
  <si>
    <t>Хранение на СВХ</t>
  </si>
  <si>
    <t>Услуги взыскиваются за фактическое время нахождения контейнера на СВХ/ЗТК. Стоимость за услугу начисляется с момента помещения товара на СВХ до момента предъявления Клиентом перевозочных документов с отметкой о выпуске товара (согласно данным складских квитанций).  *Неполные сутки свыше 1(одного) часа, округляются до полных.</t>
  </si>
  <si>
    <t xml:space="preserve">Услуги взыскиваются за фактическое время нахождения контейнера на СВХ/ЗТК. Стоимость за услугу начисляется с момента помещения товара на СВХ до момента предъявления Клиентом перевозочных документов с отметкой о выпуске товара (согласно данным складских квитанций). *Неполные сутки свыше 1(одного) часа, округляются до полных. </t>
  </si>
  <si>
    <t xml:space="preserve">Услуги взыскиваются за фактическое время нахождения контейнера на СВХ/ЗТК. Стоимость за услугу начисляется с момента помещения товара на СВХ до момента предъявления Клиентом перевозочных документов с отметкой о выпуске товара (согласно данным складских квитанций) </t>
  </si>
  <si>
    <t>Ставки применяются при хранении порожних контейнеров иной собственности клиента, неполные сутки свыше 1 (одного) часа округляются до полных.</t>
  </si>
  <si>
    <t>тонно*сутки</t>
  </si>
  <si>
    <t>Хранение грузов в крытом складе/на открытой площадке. Ставки применяются при хранении грузов по прибытию после истечения срока бесплатного хранения, установленного Уставом ЖДТ РФ, а также  по отправлению при завозе груза ранее  назначенного дня погрузки,  при хранении  не связанном с железнодорожной перевозкой -  с момента завоза груза на  контейнерный терминал до момента вывоза с терминала.
На хранение не принимаются  опасные, скоропортящиеся, боящиеся внешних атмосферных воздействий грузы. Не полные сутки (свыше 1 часа) округляются до полных. Не полные тонны округляются до полных.</t>
  </si>
  <si>
    <t xml:space="preserve">Хранение контейнеров/грузов СВХ </t>
  </si>
  <si>
    <t>2.02.03</t>
  </si>
  <si>
    <t>контейнер, вагон</t>
  </si>
  <si>
    <t>Применяется при предоставлении погрузчика на 1 час.</t>
  </si>
  <si>
    <t xml:space="preserve"> контейнер, вагон</t>
  </si>
  <si>
    <t xml:space="preserve"> Предоставление вилочного погрузчика погрузчика и переработка груза козловым краном при повагонных перевозках.  Неполные тонны округляются до полных.                 </t>
  </si>
  <si>
    <t>Ставка применяется при погрузке/выгрузке груза силами ТрансКонтейнер, рассчитана с учетом работы одного человека.</t>
  </si>
  <si>
    <t xml:space="preserve">Установка щита заграждения </t>
  </si>
  <si>
    <t>Подготовка контейнера под погрузку. Услуга применяется при подготовке контейнера в противопожарном отношении; подбора/ подготовки/ дооборудования контейнера для перевозки определенной номенклатуры грузов;  при определении соответствия контейнера иной собственности требованиям ASEP</t>
  </si>
  <si>
    <t>Взвешивание груза.</t>
  </si>
  <si>
    <t xml:space="preserve"> При организации взвешивания на товарных весах (вес одного места не более 5 тонн). Неполная тонна округляется до полной.</t>
  </si>
  <si>
    <t>Прочие услуги терминалов/портов/депо</t>
  </si>
  <si>
    <t>Услуга применяется при использовании контейнерной площадки для погрузки/выгрузки груза на территории контейнерного терминала.</t>
  </si>
  <si>
    <t xml:space="preserve"> Услуга применяется  при очистке контейнера от остатков ранее перевозимого груза.</t>
  </si>
  <si>
    <t>отправка экспресс-почты</t>
  </si>
  <si>
    <t xml:space="preserve">Крепление/раскрепления грузов </t>
  </si>
  <si>
    <t>Крепление груза</t>
  </si>
  <si>
    <t>Стоимость указана для услуги крепления груза в контейнере.                                                        Услуга также используется при погрузке автотранспортных средств.</t>
  </si>
  <si>
    <t>Раскрепление груза</t>
  </si>
  <si>
    <t>Применяется при раскреплении всех видов грузов</t>
  </si>
  <si>
    <t>Взыскивается на основании нормативных документов ОАО "РЖД"</t>
  </si>
  <si>
    <t>все типы</t>
  </si>
  <si>
    <t>20 фут, 20фут (30т),40фут, 45фут</t>
  </si>
  <si>
    <t>Оформление за Клиента в информационных системах заказа на транспортно-экспедиторские услуги</t>
  </si>
  <si>
    <t>Разработка и/или согласование схем, эскизов, чертежей погрузки груза (эскиз)</t>
  </si>
  <si>
    <t>за 1 эскиз</t>
  </si>
  <si>
    <t xml:space="preserve"> Простой автотранспорта сверх нормы до 15 мин не учитываются, свыше 15 минут взыскивается как за полный  час</t>
  </si>
  <si>
    <t xml:space="preserve">Первый заместитель директора филиала </t>
  </si>
  <si>
    <t>Начальник Контейнерного терминала Магнитогорск-Грузовой</t>
  </si>
  <si>
    <t>И.Н. Авраменко</t>
  </si>
  <si>
    <t xml:space="preserve"> зона 001  (на расстояние до 10 км включительно)</t>
  </si>
  <si>
    <t xml:space="preserve">Услуги  с учетом  времени погрузки и выгрузки контейнеров Клиентом не превышающим:  20 фут - 3 часа. Зональность автоперевозки определяется "Списком расстояний по зонам до клиентов от станции Заячья горка".   Ограничение по весу: для 20- футовых контейнеров до 20 тонн брутто                         </t>
  </si>
  <si>
    <t xml:space="preserve"> зона 002 (на расстояние от 11 до 30 км включительно)</t>
  </si>
  <si>
    <t xml:space="preserve"> зона 003 (на расстояние от 46 до 100 км включительно) </t>
  </si>
  <si>
    <t xml:space="preserve"> зона 004 (на расстояние от 31 до 35 км включительно)</t>
  </si>
  <si>
    <t xml:space="preserve"> зона 005 (на расстояние от 36 до 45 км включительно)</t>
  </si>
  <si>
    <t>Организация обработки контейнеров / грузов</t>
  </si>
  <si>
    <t>с гружеными контейнерами,  при отправлении/прибытии (вес брутто до 24 тн)</t>
  </si>
  <si>
    <t>с порожними контейнерами/грузами при отправлении/прибытии</t>
  </si>
  <si>
    <t xml:space="preserve">Предоставление запорно-пломбировочного устройства    </t>
  </si>
  <si>
    <t xml:space="preserve"> "Клещ-60СЦ"</t>
  </si>
  <si>
    <t>2.2.10</t>
  </si>
  <si>
    <t>на основании протокола правления ОАО "РЖД" от 29.12.2017 № 69. Тел. от 12.01.2018 № 179/СВР ТЦФТО (телеграф. № 625 от 16.01.2018)</t>
  </si>
  <si>
    <t>в зависимости от рода груза и количества контейнеров/вагонов в охраняемой группе</t>
  </si>
  <si>
    <t>Начальник Агентства на станции Березники</t>
  </si>
  <si>
    <t>Е.М. Назипова</t>
  </si>
  <si>
    <t>действующий с 03 февраля 2020 года (стоимость в рублях )</t>
  </si>
  <si>
    <t>40 фут,45 фут</t>
  </si>
  <si>
    <t>1.02.</t>
  </si>
  <si>
    <t>Комплексные транспортно-экспедиторские услуги на плечах перевозки</t>
  </si>
  <si>
    <t xml:space="preserve">Организация  перевозки контейнеров/грузов железнодорожным транспортом </t>
  </si>
  <si>
    <t xml:space="preserve">1.02.03. </t>
  </si>
  <si>
    <t>Зона 014 (1-14 км)</t>
  </si>
  <si>
    <t xml:space="preserve">Норма времени на загрузку-выгрузку контейнера с момента подачи автомобиля с контейнером 20 фут - 3 часа, 40-фут – 4 часа.      </t>
  </si>
  <si>
    <t>Зона 024 (15-24 км)</t>
  </si>
  <si>
    <t>Зона 034 (25-34 км)</t>
  </si>
  <si>
    <t>Зона 044 (35-44 км)</t>
  </si>
  <si>
    <t>Зона 054 (45-54 км)</t>
  </si>
  <si>
    <t>Зона 065 (55-65 км)</t>
  </si>
  <si>
    <t>Зона 0100 (66-100 км)</t>
  </si>
  <si>
    <t>Зона 0150 (101-150 км)</t>
  </si>
  <si>
    <t>Зона 0200 (151-200 км)</t>
  </si>
  <si>
    <t>Зона 0250 (201-250 км)</t>
  </si>
  <si>
    <t>Зона 0300 (251-300 км)</t>
  </si>
  <si>
    <t>Зона 0350 (301-350 км)</t>
  </si>
  <si>
    <t>Зона 0400 (351-400 км)</t>
  </si>
  <si>
    <t>Зона Депо (1-14 км)</t>
  </si>
  <si>
    <t xml:space="preserve">Забор/сдача порожнего контейнера в депо собственника </t>
  </si>
  <si>
    <t xml:space="preserve">Организация обработки контейнеров/грузов на терминалах/в портах/в депо </t>
  </si>
  <si>
    <t>Погрузочно-разгрузочные работы с контейнерами/грузами</t>
  </si>
  <si>
    <t xml:space="preserve">1.02.06. </t>
  </si>
  <si>
    <t>3тн, 5тн</t>
  </si>
  <si>
    <t>с весом брутто не более 24тн</t>
  </si>
  <si>
    <t>с весом брутто более 24тн</t>
  </si>
  <si>
    <t>контейнер иной собственности с весом брутто не более 24тн</t>
  </si>
  <si>
    <t>контейнер иной собственности с весом брутто более 24тн</t>
  </si>
  <si>
    <t>контейнер иной собственности</t>
  </si>
  <si>
    <t>контейнер иной собственности порожний</t>
  </si>
  <si>
    <t>За исключением Предоставление контейнера на территориях стран КНР (в т.ч Тайвань), КНДР, Республики Корея, Японии, Социалистической Республики Вьетнам, Таиланда, Республики Индии.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</si>
  <si>
    <t>Предоставление контейнера на территориях стран КНР (в т.ч Тайвань), КНДР, Республики Корея, Японии, Социалистической Республики Вьетнам, Таиланда, Республики Индии за первые - пятые сутки.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</si>
  <si>
    <t>Предоставление контейнера на территориях стран КНР (в т.ч Тайвань), КНДР, Республики Корея, Японии, Социалистической Республики Вьетнам, Таиланда, Республики Индии за шестые и последующие сутки.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</si>
  <si>
    <t xml:space="preserve">вагоно*суток </t>
  </si>
  <si>
    <t xml:space="preserve">  Ставка по предоставлению вагона за первые - пятые сутки, при этом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</si>
  <si>
    <t xml:space="preserve"> Погрузочно-разгрузочные работы с контейнерами/грузами</t>
  </si>
  <si>
    <t>3тн., 5тн</t>
  </si>
  <si>
    <t>40фут, 45 фут</t>
  </si>
  <si>
    <t>Неполные сутки свыше 1(одного) часа округляются до полных.</t>
  </si>
  <si>
    <t>45фут</t>
  </si>
  <si>
    <t xml:space="preserve">Ставки применяются при хранении порожних контейнеров Клиента на терминале. Неполные сутки свыше 1(одного) часа округляются до полных.  </t>
  </si>
  <si>
    <t xml:space="preserve">Хранение в ЗТК ПАО "ТрансКонтейнер» . Неполные сутки свыше 1 (одного) часа округляются до полных.  </t>
  </si>
  <si>
    <t>Выгрузка/погрузка груза</t>
  </si>
  <si>
    <t>Включает погрузку/выгрузку груза в /из контейнера  ручным способом, закрепление груза в контейнере согласно схемы погрузки,материал, необходимый для крепления, установка щитов</t>
  </si>
  <si>
    <t>тонна расчетная</t>
  </si>
  <si>
    <t>Вес одного места груза не более 5000 кг</t>
  </si>
  <si>
    <t>чел*час</t>
  </si>
  <si>
    <t>В том числе для целей таможенного досмотра</t>
  </si>
  <si>
    <t>Для погрузки пиломатериала. Включает погрузку/выгрузку груза в /из контейнера механизированным способом, закрепление груза в контейнере согласно схемы погрузки,материал, необходимый для крепления</t>
  </si>
  <si>
    <t>"Спрут-777"</t>
  </si>
  <si>
    <t>Закрутка</t>
  </si>
  <si>
    <t xml:space="preserve"> Подготовка контейнера под погрузку: термообработка реквизита крепления (для экспортной отправки)</t>
  </si>
  <si>
    <t>20, 40, 45 фут</t>
  </si>
  <si>
    <t>Маркировка контейнера знаками опасности</t>
  </si>
  <si>
    <t>С выдачей сертификата о подтверждении массы брутто контейнера</t>
  </si>
  <si>
    <t>Оформление документов по  процедуре таможенного транзита</t>
  </si>
  <si>
    <t>Услуги по обработке таможенных грузов на СВХ (ЗТК)</t>
  </si>
  <si>
    <t>2.02.09.</t>
  </si>
  <si>
    <t>Прием/выдача контейнеров в/из стоках</t>
  </si>
  <si>
    <t>20, 40 фут,  45фут</t>
  </si>
  <si>
    <t>очистка контейнеров</t>
  </si>
  <si>
    <t>Перемещение порожнего контейнера (в т.ч. прр и автотехника).</t>
  </si>
  <si>
    <t>легковой автомобиль</t>
  </si>
  <si>
    <t>Услуга включает стоимость крепления  одного автомобиля в контейнере  согласно Технических условий размещения и крепления грузов в вагонах и контейнерах специалистами при использовании реквизитов крепления ПАО ТрансКонтейнер</t>
  </si>
  <si>
    <t>джип, микроавтобус, микрогрузовик</t>
  </si>
  <si>
    <t>Услуга включает стоимость раскрепления одного автомобиля в контейнере (легковой автомобиль)</t>
  </si>
  <si>
    <t>оборудование любое</t>
  </si>
  <si>
    <t xml:space="preserve"> Крепление/раскрепление контейнера на платформе, предусматривающее  применение увязочных приспособлений</t>
  </si>
  <si>
    <t>вагон/конт</t>
  </si>
  <si>
    <t>На основании нормативных документов ОАО "РЖД"</t>
  </si>
  <si>
    <t>чертеж</t>
  </si>
  <si>
    <t>эскиз</t>
  </si>
  <si>
    <t xml:space="preserve">                                                                       Прочие  платежно-финансовые и иные экспедиторские услуги </t>
  </si>
  <si>
    <t xml:space="preserve">Прочие  платежно-финансовые и иные экспедиторские услуги </t>
  </si>
  <si>
    <t>Сбор за непредъявление грузов на указанную в заявке станцию назначения. На основании нормативных документов ОАО "РЖД"</t>
  </si>
  <si>
    <t>Внешний обмыв контейнера-цистерны</t>
  </si>
  <si>
    <t>Комплексная очистка контейнера-цистерны с использованием химических реагентов. Продукты первой категории сложности</t>
  </si>
  <si>
    <t>Комплексная очистка контейнера-цистерны с использованием химических реагентов. Продукты второй категории сложности</t>
  </si>
  <si>
    <t>Комплексная очистка контейнера-цистерны с использованием химических реагентов. Продукты третьей категории сложности</t>
  </si>
  <si>
    <t>Удаление (утилизация) из  контейнера-цистерны остатков груза</t>
  </si>
  <si>
    <t>2.04.02</t>
  </si>
  <si>
    <t>20, 40 фут</t>
  </si>
  <si>
    <t xml:space="preserve">При оказании услуги по завозу/вывозу с отцепом на складе грузополучателя/грузоотправителя плата за пользование полуприцепом начисляется с момента отцепа на складе Клиента до момента передачи уведомления в ТрансКонтейнер  о завершении погрузки/выгрузки без учета норматива времени под загрузкой/ выгрузкой.
</t>
  </si>
  <si>
    <t xml:space="preserve">Заместитель директора филиала </t>
  </si>
  <si>
    <t xml:space="preserve">Начальник  контейнерного терминала Блочная </t>
  </si>
  <si>
    <t xml:space="preserve">В.Ф. Шагеев </t>
  </si>
  <si>
    <t>1. Комплексные транспортно-экспедиторские услуги</t>
  </si>
  <si>
    <t>Комплексное транспортно-экспедиторское обслуживание на маршруте перевозки контейнеров/грузов.</t>
  </si>
  <si>
    <t xml:space="preserve">1.02. </t>
  </si>
  <si>
    <t>Комплексные транспортно-экспедиторские услуги на плечах перевозки.</t>
  </si>
  <si>
    <t>Организация перевозки контейнеров/грузов железнодорожным транспортом</t>
  </si>
  <si>
    <t>Организация перевозки контейнеров/грузов морским (речным) транспортом</t>
  </si>
  <si>
    <t>1.02.03.</t>
  </si>
  <si>
    <t>Организация перевозки контейнеров/грузов автомобильным транспортом</t>
  </si>
  <si>
    <t>1 зона  (1-10 км)</t>
  </si>
  <si>
    <t xml:space="preserve">Услуги  с учетом  времени погрузки и выгрузки контейнеров Клиентом не превышающим:  20 фут - 3 часа, 40-фут – 4 часа. </t>
  </si>
  <si>
    <t>2 зона  (11-25 км)</t>
  </si>
  <si>
    <t>3 зона (26-50 км)</t>
  </si>
  <si>
    <t>4 зона (51-100 км)</t>
  </si>
  <si>
    <t>5 зона (101-150 км)</t>
  </si>
  <si>
    <t>6 зона (151-200 км)</t>
  </si>
  <si>
    <t>7 зона (201-250 км)</t>
  </si>
  <si>
    <t>8 зона (251-300 км)</t>
  </si>
  <si>
    <t>9 зона (301-350 км)</t>
  </si>
  <si>
    <t>10 зона (351-400 км)</t>
  </si>
  <si>
    <t>11 зона(401-450 км)</t>
  </si>
  <si>
    <t>12 зона(451-650 км)</t>
  </si>
  <si>
    <t xml:space="preserve">Загрузка(постановка) /выгрузка(снятие)контейнера по дополнительному адресу (с тарификацией по зонам) </t>
  </si>
  <si>
    <t xml:space="preserve">20фут, 40фут </t>
  </si>
  <si>
    <t>Порожний контейнер</t>
  </si>
  <si>
    <t>вес брутто не более 24т</t>
  </si>
  <si>
    <t>вес брутто более 24т</t>
  </si>
  <si>
    <t xml:space="preserve"> 20фут.</t>
  </si>
  <si>
    <t xml:space="preserve"> расчётная</t>
  </si>
  <si>
    <t>расчётная</t>
  </si>
  <si>
    <t>2. Дополнительные транспортно-экспедиторские услуги</t>
  </si>
  <si>
    <t>Оперирование подвижным составом и парком контейнеров</t>
  </si>
  <si>
    <t>2.01.01.01.</t>
  </si>
  <si>
    <t>Предоставление вагона иного собственника для перевозки груза</t>
  </si>
  <si>
    <t>2.01.01.02.</t>
  </si>
  <si>
    <t>Предоставление контейнера иного собственника для перевозки груза</t>
  </si>
  <si>
    <t>20 фут, 20фут.</t>
  </si>
  <si>
    <t>Ставки применяются в отношении контейнеров предоставляемых для перевозки воинских  грузов по форме-2, в том числе грузов для личных бытовых нужд военнослужащих и объявлены договором оферты РЖД.  В случае   использования контейнеров собственности железнодорожных администраций стран СНГ ставка пользования контейнером расчитывается в соответствии с Тарифным руководством ОАО "РЖД".</t>
  </si>
  <si>
    <t>Погрузо-разгрузочные работы с контейнерами/грузами.</t>
  </si>
  <si>
    <t>Дополнительные погрузочно-разгрузочные работы с гружеными контейнерами, выполняемые РЖД при отправлении /прибытии(вес брутто до 24 тонн)</t>
  </si>
  <si>
    <t>контейнеро*операция</t>
  </si>
  <si>
    <t>Дополнительные погрузочно-разгрузочные работы с гружеными контейнерами, выполняемые РЖД при отправлении /прибытии(вес брутто свыше 24 тонн)</t>
  </si>
  <si>
    <t>Дополнительные погрузочно-разгрузочные работы с порожними контейнерами, выполняемые РЖД при отправлении/прибытии</t>
  </si>
  <si>
    <t>Дополнительные погрузочно-разгрузочные работы с гружеными контейнерами, выполняемые РЖД при отправлении/прибытии</t>
  </si>
  <si>
    <t>Хранение груза/контейнеров на контейнерном терминале РЖД и иных собственников по отправлению/прибытию</t>
  </si>
  <si>
    <t>контейнеро*суток</t>
  </si>
  <si>
    <t>Платежно-финансовые и прочие экспедиторские услуги</t>
  </si>
  <si>
    <t>на основании протокола правления ОАО РЖД от 29.12.2017 №69 Тел. от 12.01.2018 № 179/СВР ТЦФТО (телеграф. № 625 от 16.01.2018)</t>
  </si>
  <si>
    <t xml:space="preserve">расчетная </t>
  </si>
  <si>
    <t>20 фут.,40фут.</t>
  </si>
  <si>
    <t xml:space="preserve">Сбор за непредъявление грузов на указанную в заявке станцию назначения </t>
  </si>
  <si>
    <t>20 фут., 40фут</t>
  </si>
  <si>
    <t>заказ</t>
  </si>
  <si>
    <t>Работа автомобиля сверх норматива (за один час)  при завозе/вывозе
(простой авомобиля свыше 15 минут округляется до целого часа)</t>
  </si>
  <si>
    <t>Начальник агентства Войновка</t>
  </si>
  <si>
    <t>А.П. Ласкин</t>
  </si>
  <si>
    <t>на услуги по организации транспортно-экспедиционного обслуживания, предоставляемые</t>
  </si>
  <si>
    <t xml:space="preserve">действующий с 03 февраля 2020года (стоимость в рублях )    </t>
  </si>
  <si>
    <t>Рассчитывается согласно указанной в Заказе информации на перевозку и зависит от направления, расстояния перевозки и  грузоподъемности контейнера, а также включает в себя услуги из раздела 1.02.01 - 1.02.06</t>
  </si>
  <si>
    <t>010 зона (1-10км)</t>
  </si>
  <si>
    <t xml:space="preserve">Загрузка/выгрузка порожнего контейнера по дополнительному адресу          </t>
  </si>
  <si>
    <t>023 зона (11-23км)</t>
  </si>
  <si>
    <t>035 зона (24-35км)</t>
  </si>
  <si>
    <t>050 зона (36-50км)</t>
  </si>
  <si>
    <t>080 зона (51-80км)</t>
  </si>
  <si>
    <t>0110 зона (81-110км)</t>
  </si>
  <si>
    <t>0160 зона (111-160км)</t>
  </si>
  <si>
    <t>0200 зона (161-200км)</t>
  </si>
  <si>
    <t>0250 зона (201-250км)</t>
  </si>
  <si>
    <t>0300 зона (251-300км)</t>
  </si>
  <si>
    <t>0350 зона (301-350км)</t>
  </si>
  <si>
    <t>0400 зона (351-400км)</t>
  </si>
  <si>
    <t>0450 зона (401-450км)</t>
  </si>
  <si>
    <t>0500 зона (451-500км)</t>
  </si>
  <si>
    <t>0550 зона (501-550км)</t>
  </si>
  <si>
    <t>0600 зона (551-600км)</t>
  </si>
  <si>
    <t>0650 зона (601-650км)</t>
  </si>
  <si>
    <t>0700 зона (651-700км)</t>
  </si>
  <si>
    <t>0750 зона (701-750км)</t>
  </si>
  <si>
    <t>0800 зона (751-800км)</t>
  </si>
  <si>
    <t>0850зона (801-850км)</t>
  </si>
  <si>
    <t>0900 зона (851-900км)</t>
  </si>
  <si>
    <t>0950 зона (901-950км)</t>
  </si>
  <si>
    <t>01000 зона (951-1000км)</t>
  </si>
  <si>
    <t>1.02.06.</t>
  </si>
  <si>
    <t>Погрузо-разгрузочные работы по отправлению/прибытию</t>
  </si>
  <si>
    <t>Погрузочно-разгрузочные работы по отправлению/прибытию (Контейнер ПАО "ТрансКонтейнер")</t>
  </si>
  <si>
    <t>Погрузочно-разгрузочные работы по отправлению/прибытию (контейнер иной собственности)</t>
  </si>
  <si>
    <t>2. Дополнительные транспортно-экспедиторские услуги.</t>
  </si>
  <si>
    <t>Предоставление вагона/контейнера для дополнительных операций, связанных с перевозкой грузов/контейнеров</t>
  </si>
  <si>
    <t>конт*сутки</t>
  </si>
  <si>
    <t>За исключением Предоставления контейнера на территориях стран КНР (в т.ч.Тайвань), КНДР, Р. Корея, Японии, Соц.Республики Вьетнам, Таиланда, Р.Индии.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</si>
  <si>
    <t>При Предоставлении контейнера на территориях стран КНР (в т.ч.Тайвань), КНДР, Р. Корея, Японии, Соц.Республики Вьетнам, Таиланда, Р.Индии. Ставка за предоставление контейнера за первые-пятые сутки, при этом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</si>
  <si>
    <t>При Предоставлении контейнера на территориях стран КНР (в т.ч.Тайвань), КНДР, Р. Корея, Японии, Соц.Республики Вьетнам, Таиланда, Р.Индии. Ставка за предоставление контейнера за шестые и последующие сутки, при этом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</si>
  <si>
    <t>Дополнительные погрузочно-разгрузочные работы с контейнерами/грузами.</t>
  </si>
  <si>
    <t>Дополнительные погрузочно-разгрузочные работы с гружеными контейнерами/грузами (вес брутто до 24 тн)</t>
  </si>
  <si>
    <t>Дополнительные погрузочно-разгрузочные работы с гружеными контейнерами/грузами (вес брутто свыше 24 тн)</t>
  </si>
  <si>
    <t xml:space="preserve">Хранение контейнеров/грузов </t>
  </si>
  <si>
    <t>конт-сутки</t>
  </si>
  <si>
    <t>с подключением электропитания</t>
  </si>
  <si>
    <t xml:space="preserve"> Применяется  при хранении порожнего  контейнера Клиента на терминале. Неполные сутки (свыше 1 часа) округляются до полных .</t>
  </si>
  <si>
    <t xml:space="preserve">Неполные сутки (свыше 1 часа) округляются до полных </t>
  </si>
  <si>
    <t xml:space="preserve">Погрузка/выгрузка груза </t>
  </si>
  <si>
    <t>ручным способом</t>
  </si>
  <si>
    <t>Погрузка/выгрузка груза в контейнер механизированным способом , крепление груза , согласно схемы погрузки, материал  для закрепления груза, формирование транспортного пакета, установка щитов</t>
  </si>
  <si>
    <t>чел./час</t>
  </si>
  <si>
    <t xml:space="preserve"> 5 тн, 20 фут, 40 фут</t>
  </si>
  <si>
    <t>ручным способом, в том числе для таможенного досмотра</t>
  </si>
  <si>
    <t>1 тонна</t>
  </si>
  <si>
    <t xml:space="preserve"> механизированным способом, вес одного места груза не более 5000кг</t>
  </si>
  <si>
    <t>ЗПУ «Клещ-60СЦ»</t>
  </si>
  <si>
    <t>ЗПУ «Закрутка»</t>
  </si>
  <si>
    <t>20 фут, 40 фут</t>
  </si>
  <si>
    <t xml:space="preserve"> Подготовка контейнера под погрузку(термиообработка реквизита крепления для экспортной отправки)</t>
  </si>
  <si>
    <t>Установка щита заграждения</t>
  </si>
  <si>
    <t>2.02.06.</t>
  </si>
  <si>
    <t>20 фут, 40фут, 45 фут</t>
  </si>
  <si>
    <t xml:space="preserve">Без выдачи сертификата </t>
  </si>
  <si>
    <t>С выдачей сертификата</t>
  </si>
  <si>
    <t>количество</t>
  </si>
  <si>
    <t>Оформление документов по процедуре  таможенного транзита</t>
  </si>
  <si>
    <t>20 фут, 40 фут, 45 фут</t>
  </si>
  <si>
    <t xml:space="preserve">Доставка документов в таможенные органы </t>
  </si>
  <si>
    <t>Прием/выдача контейнеров в/из стоках.</t>
  </si>
  <si>
    <t>Перемещение контейнера с территории  СВХ после прохождения таможенной очистки</t>
  </si>
  <si>
    <t>легковой</t>
  </si>
  <si>
    <t xml:space="preserve">Услуга включает стоимость крепления  одного автомобиля в контейнере  согласно Технических условий размещения и крепления грузов в вагонах и контейнерах специалистами при использовании реквизитов крепления ПАО ТрансКонтейнер.    </t>
  </si>
  <si>
    <t>джип</t>
  </si>
  <si>
    <t>оборудование</t>
  </si>
  <si>
    <t>крепление/раскрепление контейнера на платформе, предусматривающее применение увязочных приспособлений</t>
  </si>
  <si>
    <t>Чертеж для габаритного груза</t>
  </si>
  <si>
    <t>Прочие платежно-финансовые и иные экспедиторские услуги.</t>
  </si>
  <si>
    <t>выдача справок о стоимости услуг</t>
  </si>
  <si>
    <t>Работа автомобиля сверх норматива</t>
  </si>
  <si>
    <t>конт*час</t>
  </si>
  <si>
    <t>При оказании услуги по завозу/вывозу с отцепом на складе грузополучателя/грузоотправителя плата за пользование полуприцепом начисляется с момента отцепа на складе Клиента до момента передачи уведомления в ТрансКонтейнер по тел.8(343)380-12-00 доб 5145, 5136                                                           о завершении погрузки/выгрузки без учета норматива времени под загрузкой/ выгрузкой.</t>
  </si>
  <si>
    <t>2.04.03</t>
  </si>
  <si>
    <t>Прочие услуги автомобильного транспорта</t>
  </si>
  <si>
    <t>Н.Б. Можарова</t>
  </si>
  <si>
    <t>Начальник  контейнерного терминала  Екатеринбург-Товарный</t>
  </si>
  <si>
    <t>А.С. Волобуев</t>
  </si>
  <si>
    <t>Комплексное транспортно-экспедиторское обслуживание на маршруте перевозки.</t>
  </si>
  <si>
    <t>Зона № 001 (0-300)</t>
  </si>
  <si>
    <t>Зона № 012 (1-12)</t>
  </si>
  <si>
    <t>Зона № 022 (13-22)</t>
  </si>
  <si>
    <t>Зона № 045 (23-45)</t>
  </si>
  <si>
    <t>Зона № 067 (46-67)</t>
  </si>
  <si>
    <t>Зона № 085 (68-85)</t>
  </si>
  <si>
    <t>Зона № 105 (86-105)</t>
  </si>
  <si>
    <t>Зона № 130 (106-130)</t>
  </si>
  <si>
    <t>Зона № 152 (131-152)</t>
  </si>
  <si>
    <t>Зона № 175 (153-175)</t>
  </si>
  <si>
    <t>Зона № 200 (176-200)</t>
  </si>
  <si>
    <t>Зона № 222 (201-222)</t>
  </si>
  <si>
    <t>Зона № 245 (223-245)</t>
  </si>
  <si>
    <t>Предоставление  контейнера ТрансКонтейнер для дополнительных операций, связанных с перевозкой грузов.</t>
  </si>
  <si>
    <t>Предоставление контейнера ТрансКонтейнер для дополнительных операций, связанных с перевозкой грузов</t>
  </si>
  <si>
    <t>Предоставление вагона ТрансКонтейнер для дополнительных операций, связанных с перевозкой грузов/контейнеров</t>
  </si>
  <si>
    <t>ваг*сут</t>
  </si>
  <si>
    <t>Ставка по  предоставлению вагона за шестые и последующие сутки,при этом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</si>
  <si>
    <t xml:space="preserve">  Пользование контейнером</t>
  </si>
  <si>
    <t>Ставка применяются  в случае   использования контейнеров собственности железнодорожных администраций стран СНГ ставка пользования контейнером расчитывается в соответствии с Тарифным руководством ОАО "РЖД".</t>
  </si>
  <si>
    <t>Дополнительные погрузочно-разгрузочные работы с гружеными контейнерами/грузами  (вес брутто до 24 тн), выполняемые ТрансКонтейнер при отправлению/прибытии</t>
  </si>
  <si>
    <t xml:space="preserve">Ставка за 1контейнеро-операцию погрузочно-разгрузочных работ            КТК 20 фут. до 24 тн. (брутто не выше 24тн) - применяется, в том числе и на груженые контейнеры 20 ф. до 30тн фактический вес брутто которых не превышает 24тн.                                                                </t>
  </si>
  <si>
    <t>Дополнительные погрузочно-разгрузочные работы с порожними контейнерами/грузами выполняемые ТрансКонтейнер при отправлению/прибытии</t>
  </si>
  <si>
    <t>Хранение грузов/контейнеров на контейнерном терминале ТрансКонтейнер по отправлению/прибытию</t>
  </si>
  <si>
    <t>тонн*суток</t>
  </si>
  <si>
    <t>Погрузка/выгрузка  контейнера механизированным способом на подъездном пути ООО "Ространском"</t>
  </si>
  <si>
    <t xml:space="preserve">40фут </t>
  </si>
  <si>
    <t xml:space="preserve"> Механизированным способом, вес одного места груза не более 1500кг</t>
  </si>
  <si>
    <t>20 фут, 40фут</t>
  </si>
  <si>
    <t>Услуга применяется при подготовке контейнера в противопожарном отношении; подбора/ подготовки/ дооборудования контейнера для перевозки определенной номенклатуры грузов; при определении соотвествия контейнера иной собственности требованиям ASEP.</t>
  </si>
  <si>
    <t>комплект документов</t>
  </si>
  <si>
    <t>Услуга применяется при получении за грузоотправителя визы на погрузку грузов, выполняемое по его просьбе</t>
  </si>
  <si>
    <t>14</t>
  </si>
  <si>
    <t>крытые, полувагоны</t>
  </si>
  <si>
    <t>15</t>
  </si>
  <si>
    <t>20 фут,  40 фут</t>
  </si>
  <si>
    <t>Осуществление расчетных операций за нахождение вагонов/контейнеров на железнодорожных путях</t>
  </si>
  <si>
    <t>вагон*суток</t>
  </si>
  <si>
    <t>Очистка контейнера от остатков ранее перевозимого груза</t>
  </si>
  <si>
    <t>Сбор за непредъявление грузов на указанную в заявке станцию назначения (с НДС).Рассчитываетя и взыскивается согласно тарифным руководствам  №1,2,3 или на основании других нормативных документов ОАО "РЖД.</t>
  </si>
  <si>
    <t>2.04.03.</t>
  </si>
  <si>
    <t>Экспедирование силами ТрансКонтейнер при завозе/вывозе</t>
  </si>
  <si>
    <t>И.Н.Алексеева</t>
  </si>
  <si>
    <t>Начальник отдел продаж транспортных услуг</t>
  </si>
  <si>
    <t>Н.Б.Можарова</t>
  </si>
  <si>
    <t>Начальник контейнерного терминала Нижневартовск</t>
  </si>
  <si>
    <t>Э.В. Фаст</t>
  </si>
  <si>
    <t>Услуги  с учетом  времени погрузки и выгрузки контейнеров Клиентом не превышающим: 20 фут - 3 часа, 40-фут – 4 часа. Зональность автоперевозки определяется "Списком расстояний по зонам до клиентов от Контейнерной площалки ст. Сургут". Ограничения по весу: для всех контейнеров до 24 тонн брутто (ХМАО, ЯМАЛ)</t>
  </si>
  <si>
    <t>Зона № 5 (расстояние от 21 до 30км)</t>
  </si>
  <si>
    <t>Зона № 6 (расстояние от 31 до 55 км)</t>
  </si>
  <si>
    <t>Зона № 7 (расстояние от 56 до 70км)</t>
  </si>
  <si>
    <t>Зона № 8 (расстояние от 71 до 100 км)</t>
  </si>
  <si>
    <t>Зона № 9 (расстояние от 101 до 150км)</t>
  </si>
  <si>
    <t>Зона № 10 (расстояние от 151 до 200км)</t>
  </si>
  <si>
    <t>Зона № 11 (расстояние от 201 до 300км)</t>
  </si>
  <si>
    <t>Зона № 12 (расстояние от 301 до 500км)</t>
  </si>
  <si>
    <t>Зона № 13 (расстояние от 501 до 700км)</t>
  </si>
  <si>
    <t>Зона № 14 (расстояние от 701 до 800км)</t>
  </si>
  <si>
    <t xml:space="preserve">Загрузка/выгрузка контейнера по дополнительному адресу </t>
  </si>
  <si>
    <t>1 адрес</t>
  </si>
  <si>
    <t>Ставка применяется в отношении контейнеров, предоставляемых для перевозки воинских грузов по форме-2, в том числе для личных бытовых нужд военнослужащих, и в объявленных договором оферты РЖД.</t>
  </si>
  <si>
    <t>1201,00</t>
  </si>
  <si>
    <t>1802,00</t>
  </si>
  <si>
    <t>вагон*сутки</t>
  </si>
  <si>
    <t xml:space="preserve">Дополнительные погрузочно-разгрузочные работы с контейнерами/грузами  </t>
  </si>
  <si>
    <t>Ставка за 1 контейнеро-операцию погрузочно-разгрузочных работ груженого/порожнего контейнера</t>
  </si>
  <si>
    <t xml:space="preserve">Хранение контейнеров/грузов  </t>
  </si>
  <si>
    <t>тонно/сутки</t>
  </si>
  <si>
    <t>на открытой площадке  (кроме контейнеров)</t>
  </si>
  <si>
    <t>Хранение на СВХ/ЗТК                                              Хранение на СВХ/ЗТК</t>
  </si>
  <si>
    <t>конт*суток конт*суток</t>
  </si>
  <si>
    <t xml:space="preserve">Оплачиваемое  время нахождения контейнера  в ЗТК/СВХ  исчисляется  с ноля часов дня следующего за днем завершения ТПТТ таможенным органом до момента предьявления Клиентом перевозочных  документов  с отметкой о выпуске товара. В случае направления товара на иное СВХ оплачиваемое время исчисляется  с ноля часов дня следующего за днем завершения ТПТТ таможенным органом до момента вывоза  контейнера с Контейнерного терминала. Неполные сутки свыше 1 (одного) часа округляются до полных.  </t>
  </si>
  <si>
    <t>Переработка тарно-штучных грузов ручным способом по прямому варианту</t>
  </si>
  <si>
    <t>Переработка тарно-штучных грузов механизированным способом  по прямому варианту</t>
  </si>
  <si>
    <t>Переработка тарно-штучных грузов механизированным способом. С учетом двух погрузо-разгрузочных  операций.</t>
  </si>
  <si>
    <t>Переработка тяжеловесных грузов (ЖБИ) механизированным способом. С учетом двух погрузо-разгрузочных  операций.</t>
  </si>
  <si>
    <t>Переработка грузов в мягкой упаковке (МКР) механизированным способом. С учетом двух погрузо-разгрузочных  операций.</t>
  </si>
  <si>
    <t>Переработка тяжеловесных грузов (трубы металлические) механизированным способом. С учетом двух погрузо-разгрузочных  операций.</t>
  </si>
  <si>
    <t>Переработка грузов на поддонах, ящиках, неупакованных грузов механизированным способом. С учетом двух погрузо-разгрузочных  операций.</t>
  </si>
  <si>
    <t>все типы контейнера</t>
  </si>
  <si>
    <t>Клещ 60СЦ</t>
  </si>
  <si>
    <t>Услуга включает стоимость одного щита загрождения в контейнере  согласно Технических условий размещения и крепления грузов в вагонах и контейнерах.</t>
  </si>
  <si>
    <t>Оформление ДО-1, ДО-2</t>
  </si>
  <si>
    <t>Осуществление расчетных операций за сопровождение и охрану груза в пути следования железнодорожным транспортомв зависимости от рода груза и количества контейнеров/вагонов в охраняемой группе</t>
  </si>
  <si>
    <t>Оформление за Клиента в информационных системах заказа на транспортно-экспедиторские услуги.</t>
  </si>
  <si>
    <t>конт*часов</t>
  </si>
  <si>
    <t>Начальник Агентства Сургут</t>
  </si>
  <si>
    <t>Н.В. Курц</t>
  </si>
  <si>
    <t>В соответствии с утвержденным списоком зон г. Кургана и Курганской области.                                                              
Завоз (вывоз) контейнера (с тарификацией по зонам) включает:                                                                                                
- вывоз груженого (порожнего) контейнера + завоз порожнего (груженого) контейнера                                                                                                                
- нормативное время погрузки и выгрузки контейнеров Клиентом не превышающим: 20 фут – 3 часа, 40 фут – 4 часа.                                                                                         
При перевозке грузов под таможенным контролем с выездом в зону другого таможенного поста, ставка увеличивается на размер простоя автотранспорта в ожидании оформления документов.                                      
При перевозке с отцепом/снятием на складе грузополучателя/грузоотправителя к ставкам организации перевозки автомобильным транспортом дополнительно взыскивается плата за пользование  прицепомза фактическое время нахождения прицепа с контейнером под погрузкой/выгрузкой с момента отцепа на складе Клиента до момента передачи уведомления о завершении погрузки/выгрузки без учета норматива времени под загрузкой/выгрузкой.                                                            
При перевозке опасных грузов (кроме 1 и 7 класса) ставка  организации перевозки увеличивается на 40%.                                                                            
Ограничение по весу: для 20- футовых контейнеров до 28 тонн брутто,  для 40- футовых контейнеров до 30 тонн брутто.</t>
  </si>
  <si>
    <t>Подготовка контейнера под погрузку.                                       
Услуга применяется  при подготовке контейнера в противопожарном отношении; подбора/ подготовки/ дооборудования контейнера для перевозки определенной номенклатуры грузов; определение соотвествия контейнера иной собственности требованиям ASEP</t>
  </si>
  <si>
    <t>Ставки применяются при хранении грузов/контейнеров в следующих случаях: 
- по прибытию после истичения срока бесплатного хранения, установленного Уставом ЖДТ РФ.                                                                              
- по отправлению при завозе груза/контейнера ранее  назначенного дня погрузки. Сбор начисляется с момента фактического завоза груза/контейнера на терминал до момента приема груза/контейнера  к перевозке,  а также после выпуска товара в свободное обращение по предъявлению Клиентом оригинала железнодорожной накладной и Декларации на товар с отметкой таможенного органа  "Выпуск разрешен".                                                                                
Неполные сутки свыше 1 (одного) часа округляются до полных.</t>
  </si>
  <si>
    <t>Ставки применяются при хранении грузов/контейнеров в следующих случаях: - по прибытию после истечения срока бесплатного хранения, установленного Уставом ЖДТ РФ.  - по отправлению при завозе груза/контейнера ранее  назначенного дня погрузки.  Начисления производятся с момента фактического завоза груза/контейнера на терминал до момента приема груза/контейнера  к перевозке,  а также после выпуска товара в свободное обращение по предъявлению Клиентом оригинала железнодорожной накладной и Декларации на товар с отметкой таможенного органа "Выпуск разрешен".                                                                                
Неполные сутки свыше 1 (одного) часа округляются до полных.</t>
  </si>
  <si>
    <t xml:space="preserve">ПАО "ТрансКонтейнер" </t>
  </si>
  <si>
    <t xml:space="preserve">на услуги по организации транспортно-экспедиционного обслуживания, </t>
  </si>
  <si>
    <t>предоставляемые Уральским  филиалом ПАО "ТрансКонтейнер" по Контейнерному терминалу Нижневартовск</t>
  </si>
  <si>
    <t>на услуги по организации транспортно-экспедиционного обслуживания,</t>
  </si>
  <si>
    <t xml:space="preserve"> предоставляемые Уральским филиалом ПАО "ТрансКонтейнер" по  Агентству на станции Сургут</t>
  </si>
  <si>
    <t xml:space="preserve">предоставляемые Уральским филиалом ПАО "ТрансКонтейнер" по Контейнерному терминалу Курган </t>
  </si>
  <si>
    <t>Услуги  с учетом  времени погрузки и выгрузки контейнеров Клиентом не превышающим:  20 фут - 3 часа, 40-фут – 4 часа. При перевозке с отцепом на складе грузополучателя/грузоотправителя к ставкам организации перевозки автомобильным транспортом дополнительно взыскивается плата за пользование  прицепом за фактическое время нахождения прицепа с контейнером под погрузкой/выгрузкой с момента отцепа на складе Клиента до момента передачи уведомления о завершении погрузки/выгрузки без учета норматива времени под загрузкой/выгрузкой.                                                                                                        
Зональность автоперевозки определяется "Списком расстояний по зонам от станции Оренбург".                                                                                
При перевозке опасных грузов (кроме 1 и 7 класса) ставка  организации перевозки увеличивается на 40%.                                                                
Ограничение по весу: для 20- футовых контейнеров до 28 тонн брутто,  для 40- футовых контейнеров до 30 тонн брутто.</t>
  </si>
  <si>
    <t xml:space="preserve">предоставляемые Уральским филиалом ПАО "ТрансКонтейнер" по  Контейнерному терминалу Челябинск - Грузовой </t>
  </si>
  <si>
    <t>Услуги  с учетом  времени погрузки и выгрузки контейнеров Клиентом не превышающим:  20 фут - 3 часа, 40-фут – 4 часа.                                                                          
При перевозке с отцепом на складе грузополучателя/грузоотправителя к ставкам организации перевозки автомобильным транспортом дополнительно взыскивается плата за пользование  прицепом за фактическое время нахождения прицепа с контейнером под погрузкой/выгрузкой с момента отцепа на складе Клиента до момента передачи уведомления о завершении погрузки/выгрузки без учета норматива времени под загрузкой/выгрузкой.                                                                                                        Зональность автоперевозки определяется "Списком расстояний по зонам до клиентов от Контейнерного терминала Челябинск-Грузовой".                                                                                
При перевозке опасных грузов (кроме 1 и 7 класса) ставка  организации перевозки увеличивается на 40%.                                             
При перевозке грузов под таможенным контролем с выездом в зону другого таможенного поста, ставка увеличивается на размер простоя автотранспорта в ожидании оформления таможенных документов.                   
Ограничение по весу: для 20- футовых контейнеров до 28 тонн брутто,  для 40- футовых контейнеров до 30 тонн брутто.</t>
  </si>
  <si>
    <t>Ставки применяются при хранении грузов/контейнеров в следующих случаях:           
- по прибытию после истечения срока бесплатного хранения, установленного Уставом ЖДТ РФ;                                                     
- по отправлению при завозе груза/контейнера ранее  назначенного дня погрузки. Сбор начисляется с момента фактического завоза груза/контейнера на терминал до момента приема груза/контейнера  к перевозке, а также после выпуска товара в свободное обращение с ноля часов дня, следующего за предъявлением Клиентом перевозочного документа с отметкой таможенного органа    "Выпуск разрешен".                                                                                
Неполные сутки свыше 1(одного) часа округляются до полных.</t>
  </si>
  <si>
    <t>Ставки применяются при хранении грузов/контейнеров в следующих случаях:           
- по прибытию после истечения срока бесплатного хранения, установленного Уставом ЖДТ РФ;                                                     
- по отправлению при завозе груза/контейнера ранее  назначенного дня погрузки. Сбор начисляется с момента фактического завоза груза/контейнера на терминал до момента приема груза/контейнера  к перевозке,  а также после выпуска товара в свободное обращение с ноля часов дня, следующего за предъявлением Клиентом перевозочного документа с отметкой таможенного органа    "Выпуск разрешен".                                                                                
Неполные сутки свыше 1(одного) часа округляются до полных.</t>
  </si>
  <si>
    <t>Взвешивание груза на весах грузоподъемностью до 1,5 тонн.                  
Неполная тонна, округляется до полной.</t>
  </si>
  <si>
    <t>Ставка за 1контейнеро-операцию погрузочно-разгрузочных работ КТК 20 фут. до 24 тн. (брутто не выше 24тн) - применяется, в том числе и на груженые контейнеры 20 ф. до 30тн фактический вес брутто которых не превышает 24тн.                                                                 Ставка за 1контейнеро-операцию погрузочно-разгрузочных работ КТК 20фут. до 30 тн. (брутто выше 24тн) - применяется на груженый контейнер 20 фут. 30 тн. фактический вес брутто которого превышает 24тн.</t>
  </si>
  <si>
    <t>Пользование полуприцепом начисляется с момента окончания норм времени на погрузку/выгрузку груза на складе Клиента до момента передачи уведомления о завершении погрузки/выгрузки по телефону 8 (3519) 44-57-96</t>
  </si>
  <si>
    <r>
      <rPr>
        <b/>
        <sz val="12"/>
        <rFont val="Times New Roman"/>
        <family val="1"/>
      </rPr>
      <t>При предоставлении контейнера за исключением Предоставления контейнера на территориях стран КНР</t>
    </r>
    <r>
      <rPr>
        <sz val="12"/>
        <rFont val="Times New Roman"/>
        <family val="1"/>
      </rPr>
      <t xml:space="preserve"> (в том числе Тайвань), КНДР, Республики Корея, Японии, Социалистической Республики Вьетнам, Таиланда, республики Индии.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r>
  </si>
  <si>
    <r>
      <rPr>
        <b/>
        <sz val="12"/>
        <rFont val="Times New Roman"/>
        <family val="1"/>
      </rPr>
      <t xml:space="preserve">При предоставлении контейнера на территориях стран КНР </t>
    </r>
    <r>
      <rPr>
        <sz val="12"/>
        <rFont val="Times New Roman"/>
        <family val="1"/>
      </rPr>
      <t xml:space="preserve">(в том числе Тайвань), КНДР, Республики Корея, Японии, Социалистической Республики Вьетнам, Таиланда, республики Индии. Ставка по предоставлению вагона </t>
    </r>
    <r>
      <rPr>
        <b/>
        <sz val="12"/>
        <rFont val="Times New Roman"/>
        <family val="1"/>
      </rPr>
      <t>за первые - пятые сутки</t>
    </r>
    <r>
      <rPr>
        <sz val="12"/>
        <rFont val="Times New Roman"/>
        <family val="1"/>
      </rPr>
      <t>, при этом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r>
  </si>
  <si>
    <r>
      <rPr>
        <b/>
        <sz val="12"/>
        <rFont val="Times New Roman"/>
        <family val="1"/>
      </rPr>
      <t>При предоставлении контейнера</t>
    </r>
    <r>
      <rPr>
        <sz val="12"/>
        <rFont val="Times New Roman"/>
        <family val="1"/>
      </rPr>
      <t xml:space="preserve"> на территориях стран КНР (в том числе Тайвань), КНДР, Республики Корея, Японии, Социалистической Республики Вьетнам, Таиланда, республики Индии. Ставка по предоставлению вагона </t>
    </r>
    <r>
      <rPr>
        <b/>
        <sz val="12"/>
        <rFont val="Times New Roman"/>
        <family val="1"/>
      </rPr>
      <t>за шестые и последующие сутки</t>
    </r>
    <r>
      <rPr>
        <sz val="12"/>
        <rFont val="Times New Roman"/>
        <family val="1"/>
      </rPr>
      <t>, при этом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r>
  </si>
  <si>
    <r>
      <t xml:space="preserve"> </t>
    </r>
    <r>
      <rPr>
        <b/>
        <sz val="12"/>
        <rFont val="Times New Roman"/>
        <family val="1"/>
      </rPr>
      <t xml:space="preserve"> Ставка по предоставлению вагона за первые - пятые сутки</t>
    </r>
    <r>
      <rPr>
        <sz val="12"/>
        <rFont val="Times New Roman"/>
        <family val="1"/>
      </rPr>
      <t>, при этом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r>
  </si>
  <si>
    <r>
      <rPr>
        <b/>
        <sz val="12"/>
        <rFont val="Times New Roman"/>
        <family val="1"/>
      </rPr>
      <t xml:space="preserve"> Ставка по  предоставлению вагона</t>
    </r>
    <r>
      <rPr>
        <sz val="12"/>
        <rFont val="Times New Roman"/>
        <family val="1"/>
      </rPr>
      <t xml:space="preserve"> </t>
    </r>
    <r>
      <rPr>
        <b/>
        <sz val="12"/>
        <rFont val="Times New Roman"/>
        <family val="1"/>
      </rPr>
      <t>за шестые и последующие сутки</t>
    </r>
    <r>
      <rPr>
        <sz val="12"/>
        <rFont val="Times New Roman"/>
        <family val="1"/>
      </rPr>
      <t>,при этом фактический объем услуги определяется исходя из временного интервала оказания услуги, длительность которого исчисляется количеством календарных суток. Неполные сутки свыше 1 (одного)часа округляются до полных.</t>
    </r>
  </si>
  <si>
    <t>Отправление документов заказной корреспонденцией по просьбе Заказчика (1 конверт почтой России)</t>
  </si>
  <si>
    <t>Услуга оказывается:                                           
* при креплении груза в вагоне, без учета материалов;                                                          
* при раскреплении всех видов грузов</t>
  </si>
  <si>
    <t xml:space="preserve">Ставки применяются при хранении грузов/контейнеров по прибытию после истечения срока бесплатного хранения, установленного Уставом ЖДТ РФ, а также  по отправлению при завозе груза/контейнера ранее  назначенного дня погрузки. Начисления производятся с момента фактического завоза груза/контейнера на терминал до момента приема груза/контейнера  к перевозке в день, согласованный в заказе.                                                                                   
* Неполные сутки (свыше 1 часа) округляются до полных.                               </t>
  </si>
  <si>
    <t xml:space="preserve"> Время погрузки и выгрузки контейнеров Клиентом:  20фут - 3 часа, 40фут - 4 часа.                                                
Время нахождения автомобиля рассчитывается с момента прибытия автомобиля в пункт погрузки/выгрузки (но не ранее, указанного времени подачи автотранспорта в заказе клиента и транспортной накладной) до момента убытия автомобиля из пункта погрузки/выгрузки.                                      
Зональность автоперевозки определяется "Списком расстояний по зонам  до клиентов от Контейнерного терминала Магнитогорск-Грузовой".                                                                                                                              
Стоимость автодоставки контейнера по зонам включает:                                               
2 пробега автомобиля с груженым / порожним контейнером на полуприцепе с/на склад Клиента.                                                                                                                                                                                                                                                                                                                                                          При перевозке грузов под таможенным контролем с выездом в зону другого таможенного поста, ставка увеличивается на размер простоя автотранспорта в ожидании оформления на таможенном посту.                                                                
При перевозке с отцепом/снятием на складе грузополучателя/грузоотправителя к ставкам организации перевозки автомобильным транспортом дополнительно взыскивается плата за пользование  прицепом. Пользование полуприцепом начисляется с момента окончания норм времени на погрузку/выгрузку груза на складе Клиента до момента передачи уведомления о завершении погрузки/выгрузки.                                        
При перевозке опасных грузов (кроме 1 и 7 класса) ставка  организации перевозки увеличивается на 40%.                          
Ограничение по весу : для 20-футовых контейнеров до 28 тонн брутто, для 40-футовых контейнеров до 30 тонн брутто.</t>
  </si>
  <si>
    <t xml:space="preserve">предоставляемые Уральским филиалом ПАО "ТрансКонтейнер"по Контейнерному терминалу Магнитогорск - Грузовой </t>
  </si>
  <si>
    <t xml:space="preserve">на услуги по организации транспортно-экспедиционного обслуживания,  </t>
  </si>
  <si>
    <t>предоставляемые Уральским филиалом ПАО "ТрансКонтейнер" по  Агентству на станции Березники (Заячья горка)</t>
  </si>
  <si>
    <t>На контейнерном терминале РЖД по прибытию/отправлению.Ставки применяются при хранении грузов/контейнеров в следующих случаях:                                   
- по прибытию после истечения срока бесплатного хранения, установленного Уставом ЖДТ РФ;                                                     
- по отправлению при завозе груза/контейнера ранее  назначенного дня погрузки. Сбор начисляется с момента фактического завоза груза/контейнера на терминал до момента приема груза/контейнера  к перевозке. Неполные сутки свыше 1(одного) часа округляются до полных.</t>
  </si>
  <si>
    <t>предоставляемые Уральским филиалом ПАО "ТрансКонтейнер Контейнерный терминал Блочная</t>
  </si>
  <si>
    <t xml:space="preserve">Директор Уральского филиала      </t>
  </si>
  <si>
    <t>______________________________А.А Кривошапкин</t>
  </si>
  <si>
    <t>предоставляемые Уральским филиалом ПАО "ТрансКонтейнер" по  Агентству на станции Войновка</t>
  </si>
  <si>
    <t>__________________А.А. Кривошапкин</t>
  </si>
  <si>
    <t>__________________  А.А. Кривошапкин</t>
  </si>
  <si>
    <t>Услуги  с учетом  времени погрузки и выгрузки контейнеров Клиентом не превышающим:  20 фут - 3 часа, 40-фут – 4 часа.                                                                          
При перевозке с отцепом на складе грузополучателя/грузоотправителя к ставкам организации перевозки автомобильным транспортом дополнительно взыскивается плата за пользование  прицепом за фактическое время нахождения прицепа с контейнером под погрузкой/выгрузкой с момента отцепа на складе Клиента до момента передачи уведомления о завершении погрузки/выгрузки без учета норматива времени под загрузкой/выгрузкой.                                                                                                        Зональность автоперевозки определяется "Списком расстояний по зонам до клиентов от Контейнерного терминала Екатеринбург-Товарный".                                                                                                                            
При перевозке грузов под таможенным контролем с выездом в зону другого таможенного поста дополнительно взыскивается услуга 2.04.03.                   
Ограничение по весу: для 20- футовых контейнеров до 24 тонн брутто,  для 40- футовых контейнеров до 25,5 тонн брутто.</t>
  </si>
  <si>
    <t>Ставки применяются при хранении грузов/контейнеров в следующих случаях:           
- по прибытию после истечения срока бесплатного хранения, установленного Уставом ЖДТ РФ;                                                     
- по отправлению при завозе груза/контейнера ранее  назначенного дня погрузки. Сбор начисляется с момента фактического завоза груза/контейнера на терминал до момента приема груза/контейнера  к перевозке,                                                                                    а также после выпуска товара в свободное обращение с ноля часов дня, следующего за предъявлением Клиентом перевозочного документа с отметкой таможенного органа    "Выпуск разрешен".                                                                                Неполные сутки свыше 1(одного) часа округляются до полных.</t>
  </si>
  <si>
    <r>
      <t>Хранение собственных контейнеров по просьбе клиента (</t>
    </r>
    <r>
      <rPr>
        <b/>
        <sz val="12"/>
        <rFont val="Times New Roman"/>
        <family val="1"/>
      </rPr>
      <t>порожний</t>
    </r>
    <r>
      <rPr>
        <sz val="12"/>
        <rFont val="Times New Roman"/>
        <family val="1"/>
      </rPr>
      <t>)</t>
    </r>
  </si>
  <si>
    <t>_______________  А.А. Кривошапкин</t>
  </si>
  <si>
    <t>Услуги  с учетом  времени погрузки и выгрузки контейнеров клиентом не превышающие - 3 часа.                                                                          
Зональность автоперевозки определяется "Списком расстояний по зонам до клиентов от контейнерного терминала Нижневартовск".  Ограничение по весу: для 20- футовых контейнеров до 22 тонн брутто.</t>
  </si>
  <si>
    <t>Ставки применяются при хранении грузов/контейнеров в следующих случаях:           
- по прибытию после истечения срока бесплатного хранения, установленного Уставом ЖДТ РФ;                                                     
- по отправлению при завозе груза/контейнера ранее  назначенного дня погрузки. 
Сбор начисляется с момента фактического завоза груза/контейнера на терминал до момента приема груза/контейнера  к перевозке,                                                                                    
Неполные сутки свыше 1(одного) часа округляются до полных.</t>
  </si>
  <si>
    <t>Ставки применяются при хранении  на откытой площадке грузов/контейнеров в следующих случаях:           
- по прибытию после истечения срока бесплатного хранения, установленного Уставом ЖДТ РФ;                                                     
- по отправлению при завозе груза/контейнера ранее  назначенного дня погрузки. Сбор начисляется с момента фактического завоза груза/контейнера на терминал до момента приема груза/контейнера  к перевозке,                                                                                    а также после выпуска товара в свободное обращение с ноля часов дня, следующего за предъявлением Клиентом перевозочного документа с отметкой таможенного органа    "Выпуск разрешен".                                                                                
Неполные сутки свыше 1(одного) часа округляются до полных.</t>
  </si>
  <si>
    <t>Уральским филиалом ПАО "ТрансКонтейнер", Контейнерный терминал Екатеринбург-Товарный</t>
  </si>
  <si>
    <t xml:space="preserve">предоставляемые Уральским филиаломПАО "ТрансКонтейнер" по  Агентству на станции Оренбург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</si>
</sst>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_р_."/>
    <numFmt numFmtId="165" formatCode="000000"/>
    <numFmt numFmtId="166" formatCode="#,##0.00\ _₽"/>
    <numFmt numFmtId="167" formatCode="#,##0\ _₽"/>
    <numFmt numFmtId="168" formatCode="0.0"/>
    <numFmt numFmtId="169" formatCode="_-* #,##0.00_р_._-;\-* #,##0.00_р_._-;_-* &quot;-&quot;??_р_._-;_-@_-"/>
  </numFmts>
  <fonts count="7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Times New Roman"/>
      <family val="1"/>
    </font>
    <font>
      <sz val="9"/>
      <name val="Times New Roman"/>
      <family val="1"/>
    </font>
    <font>
      <sz val="10"/>
      <name val="Times New Roman"/>
      <family val="1"/>
    </font>
    <font>
      <sz val="14"/>
      <name val="Times New Roman"/>
      <family val="1"/>
    </font>
    <font>
      <b/>
      <sz val="18"/>
      <name val="Times New Roman"/>
      <family val="1"/>
    </font>
    <font>
      <sz val="16"/>
      <name val="Times New Roman"/>
      <family val="1"/>
    </font>
    <font>
      <sz val="11"/>
      <name val="Times New Roman"/>
      <family val="1"/>
    </font>
    <font>
      <sz val="10"/>
      <name val="Cambria"/>
      <family val="1"/>
    </font>
    <font>
      <b/>
      <sz val="16"/>
      <name val="Times New Roman"/>
      <family val="1"/>
    </font>
    <font>
      <sz val="10"/>
      <name val="Arial Cyr"/>
      <family val="0"/>
    </font>
    <font>
      <b/>
      <i/>
      <sz val="16"/>
      <name val="Times New Roman"/>
      <family val="1"/>
    </font>
    <font>
      <b/>
      <sz val="12"/>
      <name val="Times New Roman"/>
      <family val="1"/>
    </font>
    <font>
      <b/>
      <sz val="14"/>
      <name val="Times New Roman"/>
      <family val="1"/>
    </font>
    <font>
      <sz val="12"/>
      <color indexed="8"/>
      <name val="Times New Roman"/>
      <family val="1"/>
    </font>
    <font>
      <b/>
      <sz val="12"/>
      <color indexed="8"/>
      <name val="Times New Roman"/>
      <family val="1"/>
    </font>
    <font>
      <sz val="11"/>
      <color indexed="8"/>
      <name val="Times New Roman"/>
      <family val="1"/>
    </font>
    <font>
      <b/>
      <sz val="16"/>
      <color indexed="8"/>
      <name val="Times New Roman"/>
      <family val="1"/>
    </font>
    <font>
      <sz val="10"/>
      <color indexed="8"/>
      <name val="Arial"/>
      <family val="2"/>
    </font>
    <font>
      <sz val="12"/>
      <color indexed="10"/>
      <name val="Times New Roman"/>
      <family val="1"/>
    </font>
    <font>
      <sz val="9"/>
      <color indexed="8"/>
      <name val="Times New Roman"/>
      <family val="1"/>
    </font>
    <font>
      <sz val="10"/>
      <color indexed="8"/>
      <name val="Times New Roman"/>
      <family val="1"/>
    </font>
    <font>
      <sz val="14"/>
      <color indexed="8"/>
      <name val="Times New Roman"/>
      <family val="1"/>
    </font>
    <font>
      <sz val="16"/>
      <color indexed="8"/>
      <name val="Times New Roman"/>
      <family val="1"/>
    </font>
    <font>
      <b/>
      <i/>
      <sz val="16"/>
      <color indexed="8"/>
      <name val="Times New Roman"/>
      <family val="1"/>
    </font>
    <font>
      <b/>
      <sz val="18"/>
      <color indexed="8"/>
      <name val="Times New Roman"/>
      <family val="1"/>
    </font>
    <font>
      <sz val="14"/>
      <name val="Arial Cyr"/>
      <family val="0"/>
    </font>
    <font>
      <b/>
      <sz val="10"/>
      <name val="Times New Roman"/>
      <family val="1"/>
    </font>
    <font>
      <b/>
      <sz val="16"/>
      <name val="Arial Cyr"/>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sz val="9"/>
      <color theme="1"/>
      <name val="Times New Roman"/>
      <family val="1"/>
    </font>
    <font>
      <sz val="10"/>
      <color theme="1"/>
      <name val="Times New Roman"/>
      <family val="1"/>
    </font>
    <font>
      <b/>
      <sz val="16"/>
      <color theme="1"/>
      <name val="Times New Roman"/>
      <family val="1"/>
    </font>
    <font>
      <b/>
      <i/>
      <sz val="16"/>
      <color theme="1"/>
      <name val="Times New Roman"/>
      <family val="1"/>
    </font>
    <font>
      <sz val="11"/>
      <color theme="1"/>
      <name val="Times New Roman"/>
      <family val="1"/>
    </font>
    <font>
      <sz val="14"/>
      <color theme="1"/>
      <name val="Times New Roman"/>
      <family val="1"/>
    </font>
    <font>
      <sz val="16"/>
      <color theme="1"/>
      <name val="Times New Roman"/>
      <family val="1"/>
    </font>
    <font>
      <sz val="12"/>
      <color rgb="FFFF0000"/>
      <name val="Times New Roman"/>
      <family val="1"/>
    </font>
    <font>
      <b/>
      <sz val="1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top style="thin"/>
      <bottom style="thin"/>
    </border>
    <border>
      <left style="medium"/>
      <right style="thin"/>
      <top/>
      <bottom/>
    </border>
    <border>
      <left style="thin"/>
      <right style="thin"/>
      <top/>
      <bottom/>
    </border>
    <border>
      <left style="thin"/>
      <right style="thin"/>
      <top/>
      <bottom style="thin"/>
    </border>
    <border>
      <left style="medium"/>
      <right style="thin"/>
      <top/>
      <bottom style="thin"/>
    </border>
    <border>
      <left/>
      <right/>
      <top style="thin"/>
      <bottom style="thin"/>
    </border>
    <border>
      <left/>
      <right style="medium"/>
      <top style="thin"/>
      <bottom style="thin"/>
    </border>
    <border>
      <left/>
      <right style="thin"/>
      <top/>
      <bottom style="thin"/>
    </border>
    <border>
      <left style="medium"/>
      <right style="thin"/>
      <top style="thin"/>
      <bottom style="thin"/>
    </border>
    <border>
      <left style="thin"/>
      <right style="medium"/>
      <top style="thin"/>
      <bottom/>
    </border>
    <border>
      <left style="thin"/>
      <right style="medium"/>
      <top/>
      <bottom style="thin"/>
    </border>
    <border>
      <left style="thin"/>
      <right/>
      <top style="thin"/>
      <bottom/>
    </border>
    <border>
      <left/>
      <right style="thin"/>
      <top style="thin"/>
      <bottom/>
    </border>
    <border>
      <left style="thin"/>
      <right style="thin"/>
      <top style="thin"/>
      <bottom style="medium"/>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bottom/>
    </border>
    <border>
      <left style="thin"/>
      <right/>
      <top/>
      <bottom style="thin"/>
    </border>
    <border>
      <left style="thin"/>
      <right style="medium"/>
      <top/>
      <bottom/>
    </border>
    <border>
      <left style="thin"/>
      <right/>
      <top/>
      <bottom/>
    </border>
    <border>
      <left style="thin"/>
      <right style="medium"/>
      <top style="thin"/>
      <bottom style="medium"/>
    </border>
    <border>
      <left style="medium"/>
      <right/>
      <top style="thin"/>
      <bottom/>
    </border>
    <border>
      <left style="thin"/>
      <right/>
      <top style="thin"/>
      <bottom style="medium"/>
    </border>
    <border>
      <left/>
      <right style="medium"/>
      <top style="thin"/>
      <bottom/>
    </border>
    <border>
      <left style="medium"/>
      <right/>
      <top/>
      <bottom style="thin"/>
    </border>
    <border>
      <left/>
      <right/>
      <top/>
      <bottom style="thin"/>
    </border>
    <border>
      <left/>
      <right style="medium"/>
      <top/>
      <bottom style="thin"/>
    </border>
    <border>
      <left style="medium"/>
      <right style="thin"/>
      <top/>
      <bottom style="medium"/>
    </border>
    <border>
      <left style="thin"/>
      <right style="thin"/>
      <top/>
      <bottom style="medium"/>
    </border>
    <border>
      <left style="medium"/>
      <right/>
      <top/>
      <bottom/>
    </border>
    <border>
      <left/>
      <right style="medium"/>
      <top/>
      <bottom/>
    </border>
    <border>
      <left/>
      <right/>
      <top style="thin"/>
      <bottom/>
    </border>
    <border>
      <left/>
      <right style="medium"/>
      <top style="medium"/>
      <bottom style="thin"/>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27" fillId="0" borderId="0">
      <alignment/>
      <protection/>
    </xf>
    <xf numFmtId="0" fontId="27" fillId="0" borderId="0">
      <alignment/>
      <protection/>
    </xf>
    <xf numFmtId="0" fontId="35" fillId="0" borderId="0">
      <alignment/>
      <protection/>
    </xf>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2" borderId="0" applyNumberFormat="0" applyBorder="0" applyAlignment="0" applyProtection="0"/>
  </cellStyleXfs>
  <cellXfs count="759">
    <xf numFmtId="0" fontId="0" fillId="0" borderId="0" xfId="0" applyFont="1" applyAlignment="1">
      <alignment/>
    </xf>
    <xf numFmtId="49" fontId="18" fillId="33" borderId="10" xfId="0" applyNumberFormat="1" applyFont="1" applyFill="1" applyBorder="1" applyAlignment="1">
      <alignment horizontal="center" vertical="center" wrapText="1"/>
    </xf>
    <xf numFmtId="164" fontId="25" fillId="0" borderId="0" xfId="0" applyNumberFormat="1" applyFont="1" applyFill="1" applyAlignment="1">
      <alignment horizontal="left"/>
    </xf>
    <xf numFmtId="164" fontId="26" fillId="0" borderId="0" xfId="0" applyNumberFormat="1" applyFont="1" applyFill="1" applyAlignment="1" applyProtection="1">
      <alignment horizontal="left" vertical="center" wrapText="1"/>
      <protection locked="0"/>
    </xf>
    <xf numFmtId="0" fontId="26" fillId="0" borderId="0" xfId="0" applyFont="1" applyFill="1" applyAlignment="1" applyProtection="1">
      <alignment horizontal="left" vertical="center" wrapText="1"/>
      <protection locked="0"/>
    </xf>
    <xf numFmtId="49" fontId="18" fillId="0" borderId="0" xfId="0" applyNumberFormat="1" applyFont="1" applyFill="1" applyAlignment="1">
      <alignment horizontal="center" vertical="center" wrapText="1"/>
    </xf>
    <xf numFmtId="49" fontId="19" fillId="0" borderId="0" xfId="0" applyNumberFormat="1" applyFont="1" applyFill="1" applyAlignment="1">
      <alignment horizontal="center" vertical="center" wrapText="1"/>
    </xf>
    <xf numFmtId="49" fontId="20" fillId="0" borderId="0" xfId="0" applyNumberFormat="1" applyFont="1" applyFill="1" applyAlignment="1">
      <alignment horizontal="center" vertical="center" wrapText="1"/>
    </xf>
    <xf numFmtId="0" fontId="21" fillId="0" borderId="0" xfId="0" applyFont="1" applyFill="1" applyAlignment="1">
      <alignment/>
    </xf>
    <xf numFmtId="49" fontId="18" fillId="0" borderId="10" xfId="0" applyNumberFormat="1" applyFont="1" applyFill="1" applyBorder="1" applyAlignment="1">
      <alignment horizontal="center" vertical="center" wrapText="1"/>
    </xf>
    <xf numFmtId="49" fontId="18" fillId="0" borderId="0" xfId="0" applyNumberFormat="1" applyFont="1" applyFill="1" applyAlignment="1">
      <alignment horizontal="center" vertical="top" wrapText="1"/>
    </xf>
    <xf numFmtId="49" fontId="24" fillId="0" borderId="0" xfId="0" applyNumberFormat="1" applyFont="1" applyFill="1" applyAlignment="1">
      <alignment horizontal="center" vertical="center"/>
    </xf>
    <xf numFmtId="49" fontId="24" fillId="0" borderId="0" xfId="0" applyNumberFormat="1" applyFont="1" applyFill="1" applyAlignment="1">
      <alignment horizontal="center"/>
    </xf>
    <xf numFmtId="49" fontId="19" fillId="0" borderId="0" xfId="0" applyNumberFormat="1" applyFont="1" applyFill="1" applyAlignment="1">
      <alignment/>
    </xf>
    <xf numFmtId="49" fontId="20" fillId="0" borderId="0" xfId="0" applyNumberFormat="1" applyFont="1" applyFill="1" applyAlignment="1">
      <alignment/>
    </xf>
    <xf numFmtId="49" fontId="24" fillId="0" borderId="0" xfId="0" applyNumberFormat="1" applyFont="1" applyFill="1" applyAlignment="1">
      <alignment/>
    </xf>
    <xf numFmtId="49" fontId="21" fillId="0" borderId="0" xfId="0" applyNumberFormat="1" applyFont="1" applyFill="1" applyAlignment="1">
      <alignment/>
    </xf>
    <xf numFmtId="164" fontId="18" fillId="0" borderId="0" xfId="0" applyNumberFormat="1" applyFont="1" applyFill="1" applyAlignment="1">
      <alignment horizontal="center" vertical="center" wrapText="1"/>
    </xf>
    <xf numFmtId="49" fontId="18" fillId="0" borderId="0" xfId="0" applyNumberFormat="1" applyFont="1" applyFill="1" applyAlignment="1">
      <alignment horizontal="left" vertical="center" wrapText="1"/>
    </xf>
    <xf numFmtId="49" fontId="23" fillId="0" borderId="0" xfId="0" applyNumberFormat="1" applyFont="1" applyFill="1" applyAlignment="1">
      <alignment horizontal="center" vertical="top" wrapText="1"/>
    </xf>
    <xf numFmtId="49" fontId="28" fillId="0" borderId="0" xfId="53" applyNumberFormat="1" applyFont="1" applyFill="1" applyAlignment="1">
      <alignment horizontal="left" vertical="top" wrapText="1"/>
      <protection/>
    </xf>
    <xf numFmtId="49" fontId="29" fillId="0" borderId="11" xfId="52" applyNumberFormat="1" applyFont="1" applyFill="1" applyBorder="1" applyAlignment="1">
      <alignment horizontal="center" vertical="center" wrapText="1"/>
      <protection/>
    </xf>
    <xf numFmtId="49" fontId="29" fillId="0" borderId="12" xfId="52" applyNumberFormat="1" applyFont="1" applyFill="1" applyBorder="1" applyAlignment="1">
      <alignment horizontal="center" vertical="center" wrapText="1"/>
      <protection/>
    </xf>
    <xf numFmtId="164" fontId="29" fillId="0" borderId="12" xfId="52" applyNumberFormat="1" applyFont="1" applyFill="1" applyBorder="1" applyAlignment="1">
      <alignment horizontal="center" vertical="center" wrapText="1"/>
      <protection/>
    </xf>
    <xf numFmtId="49" fontId="29" fillId="0" borderId="13" xfId="52" applyNumberFormat="1" applyFont="1" applyFill="1" applyBorder="1" applyAlignment="1">
      <alignment horizontal="center" vertical="center" wrapText="1"/>
      <protection/>
    </xf>
    <xf numFmtId="49" fontId="29" fillId="0" borderId="14" xfId="0" applyNumberFormat="1" applyFont="1" applyFill="1" applyBorder="1" applyAlignment="1">
      <alignment horizontal="center" vertical="center" wrapText="1"/>
    </xf>
    <xf numFmtId="49" fontId="29" fillId="0" borderId="15" xfId="0" applyNumberFormat="1" applyFont="1" applyFill="1" applyBorder="1" applyAlignment="1">
      <alignment horizontal="center" vertical="center" wrapText="1"/>
    </xf>
    <xf numFmtId="0" fontId="29" fillId="0" borderId="10" xfId="0" applyNumberFormat="1" applyFont="1" applyFill="1" applyBorder="1" applyAlignment="1">
      <alignment horizontal="center" vertical="center" wrapText="1"/>
    </xf>
    <xf numFmtId="0" fontId="29" fillId="0" borderId="16" xfId="0" applyNumberFormat="1" applyFont="1" applyFill="1" applyBorder="1" applyAlignment="1">
      <alignment horizontal="center" vertical="center" wrapText="1"/>
    </xf>
    <xf numFmtId="49" fontId="29" fillId="0" borderId="17" xfId="0" applyNumberFormat="1" applyFont="1" applyFill="1" applyBorder="1" applyAlignment="1">
      <alignment horizontal="center" vertical="center" wrapText="1"/>
    </xf>
    <xf numFmtId="49" fontId="29" fillId="0" borderId="18" xfId="0" applyNumberFormat="1" applyFont="1" applyFill="1" applyBorder="1" applyAlignment="1">
      <alignment horizontal="center" vertical="center" wrapText="1"/>
    </xf>
    <xf numFmtId="0" fontId="18" fillId="0" borderId="18" xfId="0" applyNumberFormat="1" applyFont="1" applyFill="1" applyBorder="1" applyAlignment="1">
      <alignment horizontal="center" vertical="center" wrapText="1"/>
    </xf>
    <xf numFmtId="49" fontId="18" fillId="0" borderId="18" xfId="0" applyNumberFormat="1" applyFont="1" applyFill="1" applyBorder="1" applyAlignment="1">
      <alignment horizontal="center" vertical="center" wrapText="1"/>
    </xf>
    <xf numFmtId="49" fontId="18" fillId="0" borderId="19" xfId="0" applyNumberFormat="1" applyFont="1" applyFill="1" applyBorder="1" applyAlignment="1">
      <alignment horizontal="center" vertical="center" wrapText="1"/>
    </xf>
    <xf numFmtId="49" fontId="18" fillId="0" borderId="15" xfId="0" applyNumberFormat="1" applyFont="1" applyFill="1" applyBorder="1" applyAlignment="1">
      <alignment horizontal="center" vertical="center" wrapText="1"/>
    </xf>
    <xf numFmtId="49" fontId="29" fillId="0" borderId="20" xfId="0" applyNumberFormat="1" applyFont="1" applyFill="1" applyBorder="1" applyAlignment="1">
      <alignment horizontal="center" vertical="center" wrapText="1"/>
    </xf>
    <xf numFmtId="49" fontId="29" fillId="0" borderId="21" xfId="0" applyNumberFormat="1" applyFont="1" applyFill="1" applyBorder="1" applyAlignment="1">
      <alignment horizontal="center" vertical="center" wrapText="1"/>
    </xf>
    <xf numFmtId="0" fontId="18" fillId="0" borderId="21" xfId="0" applyNumberFormat="1" applyFont="1" applyFill="1" applyBorder="1" applyAlignment="1">
      <alignment horizontal="center" vertical="center" wrapText="1"/>
    </xf>
    <xf numFmtId="49" fontId="18" fillId="0" borderId="22" xfId="0" applyNumberFormat="1" applyFont="1" applyFill="1" applyBorder="1" applyAlignment="1">
      <alignment horizontal="center" vertical="center" wrapText="1"/>
    </xf>
    <xf numFmtId="49" fontId="18" fillId="0" borderId="21" xfId="0" applyNumberFormat="1" applyFont="1" applyFill="1" applyBorder="1" applyAlignment="1">
      <alignment horizontal="center" vertical="center" wrapText="1"/>
    </xf>
    <xf numFmtId="49" fontId="29" fillId="0" borderId="23" xfId="0" applyNumberFormat="1" applyFont="1" applyFill="1" applyBorder="1" applyAlignment="1">
      <alignment horizontal="center" vertical="center" wrapText="1"/>
    </xf>
    <xf numFmtId="49" fontId="29" fillId="0" borderId="22" xfId="0" applyNumberFormat="1" applyFont="1" applyFill="1" applyBorder="1" applyAlignment="1">
      <alignment horizontal="center" vertical="center" wrapText="1"/>
    </xf>
    <xf numFmtId="0" fontId="18" fillId="0" borderId="22" xfId="0" applyNumberFormat="1" applyFont="1" applyFill="1" applyBorder="1" applyAlignment="1">
      <alignment horizontal="center" vertical="center" wrapText="1"/>
    </xf>
    <xf numFmtId="0" fontId="18" fillId="0" borderId="21" xfId="0" applyNumberFormat="1" applyFont="1" applyFill="1" applyBorder="1" applyAlignment="1">
      <alignment horizontal="center" vertical="center" wrapText="1"/>
    </xf>
    <xf numFmtId="49" fontId="18" fillId="0" borderId="10" xfId="0" applyNumberFormat="1" applyFont="1" applyFill="1" applyBorder="1" applyAlignment="1">
      <alignment vertical="center" wrapText="1"/>
    </xf>
    <xf numFmtId="49" fontId="62" fillId="0" borderId="10" xfId="0" applyNumberFormat="1" applyFont="1" applyFill="1" applyBorder="1" applyAlignment="1">
      <alignment horizontal="center" vertical="center" wrapText="1"/>
    </xf>
    <xf numFmtId="49" fontId="62" fillId="0" borderId="0" xfId="0" applyNumberFormat="1" applyFont="1" applyFill="1" applyAlignment="1">
      <alignment horizontal="center" vertical="center" wrapText="1"/>
    </xf>
    <xf numFmtId="0" fontId="62" fillId="0" borderId="10" xfId="0" applyNumberFormat="1" applyFont="1" applyFill="1" applyBorder="1" applyAlignment="1">
      <alignment horizontal="center" vertical="center" wrapText="1"/>
    </xf>
    <xf numFmtId="49" fontId="63" fillId="0" borderId="18" xfId="0" applyNumberFormat="1" applyFont="1" applyFill="1" applyBorder="1" applyAlignment="1">
      <alignment horizontal="center" vertical="center" wrapText="1"/>
    </xf>
    <xf numFmtId="49" fontId="63" fillId="0" borderId="19" xfId="0" applyNumberFormat="1" applyFont="1" applyFill="1" applyBorder="1" applyAlignment="1">
      <alignment horizontal="center" vertical="center" wrapText="1"/>
    </xf>
    <xf numFmtId="49" fontId="63" fillId="0" borderId="24" xfId="0" applyNumberFormat="1" applyFont="1" applyFill="1" applyBorder="1" applyAlignment="1">
      <alignment horizontal="center" vertical="center" wrapText="1"/>
    </xf>
    <xf numFmtId="49" fontId="63" fillId="0" borderId="25" xfId="0" applyNumberFormat="1" applyFont="1" applyFill="1" applyBorder="1" applyAlignment="1">
      <alignment horizontal="center" vertical="center" wrapText="1"/>
    </xf>
    <xf numFmtId="49" fontId="63" fillId="0" borderId="21" xfId="0" applyNumberFormat="1" applyFont="1" applyFill="1" applyBorder="1" applyAlignment="1">
      <alignment horizontal="center" vertical="center" wrapText="1"/>
    </xf>
    <xf numFmtId="49" fontId="62" fillId="0" borderId="21" xfId="0" applyNumberFormat="1" applyFont="1" applyFill="1" applyBorder="1" applyAlignment="1">
      <alignment horizontal="center" vertical="center" wrapText="1"/>
    </xf>
    <xf numFmtId="0" fontId="62" fillId="0" borderId="18" xfId="0" applyFont="1" applyFill="1" applyBorder="1" applyAlignment="1">
      <alignment horizontal="center" vertical="center"/>
    </xf>
    <xf numFmtId="49" fontId="62" fillId="0" borderId="22" xfId="0" applyNumberFormat="1" applyFont="1" applyFill="1" applyBorder="1" applyAlignment="1">
      <alignment horizontal="center" vertical="center" wrapText="1"/>
    </xf>
    <xf numFmtId="164" fontId="62" fillId="0" borderId="10" xfId="0" applyNumberFormat="1" applyFont="1" applyFill="1" applyBorder="1" applyAlignment="1">
      <alignment horizontal="center" vertical="center" wrapText="1"/>
    </xf>
    <xf numFmtId="0" fontId="62" fillId="0" borderId="21" xfId="0" applyFont="1" applyFill="1" applyBorder="1" applyAlignment="1">
      <alignment horizontal="center" vertical="center"/>
    </xf>
    <xf numFmtId="49" fontId="62" fillId="0" borderId="18" xfId="0" applyNumberFormat="1" applyFont="1" applyFill="1" applyBorder="1" applyAlignment="1">
      <alignment horizontal="center" vertical="center" wrapText="1"/>
    </xf>
    <xf numFmtId="0" fontId="62" fillId="0" borderId="26" xfId="0" applyFont="1" applyFill="1" applyBorder="1" applyAlignment="1">
      <alignment horizontal="center" vertical="center" wrapText="1"/>
    </xf>
    <xf numFmtId="49" fontId="63" fillId="0" borderId="22" xfId="0" applyNumberFormat="1" applyFont="1" applyFill="1" applyBorder="1" applyAlignment="1">
      <alignment horizontal="center" vertical="center" wrapText="1"/>
    </xf>
    <xf numFmtId="0" fontId="62" fillId="0" borderId="22" xfId="0" applyFont="1" applyFill="1" applyBorder="1" applyAlignment="1">
      <alignment horizontal="center" vertical="center"/>
    </xf>
    <xf numFmtId="49" fontId="63" fillId="0" borderId="10" xfId="0" applyNumberFormat="1" applyFont="1" applyFill="1" applyBorder="1" applyAlignment="1">
      <alignment horizontal="center" vertical="center" wrapText="1"/>
    </xf>
    <xf numFmtId="49" fontId="62" fillId="0" borderId="10" xfId="0" applyNumberFormat="1" applyFont="1" applyFill="1" applyBorder="1" applyAlignment="1">
      <alignment horizontal="center" vertical="center" wrapText="1"/>
    </xf>
    <xf numFmtId="0" fontId="63" fillId="0" borderId="27" xfId="0" applyNumberFormat="1" applyFont="1" applyFill="1" applyBorder="1" applyAlignment="1">
      <alignment horizontal="center" vertical="center" wrapText="1"/>
    </xf>
    <xf numFmtId="49" fontId="62" fillId="0" borderId="28" xfId="0" applyNumberFormat="1" applyFont="1" applyFill="1" applyBorder="1" applyAlignment="1">
      <alignment horizontal="center" vertical="center" wrapText="1"/>
    </xf>
    <xf numFmtId="49" fontId="62" fillId="0" borderId="29" xfId="0" applyNumberFormat="1" applyFont="1" applyFill="1" applyBorder="1" applyAlignment="1">
      <alignment horizontal="center" vertical="center" wrapText="1"/>
    </xf>
    <xf numFmtId="2" fontId="62" fillId="0" borderId="10" xfId="0" applyNumberFormat="1" applyFont="1" applyFill="1" applyBorder="1" applyAlignment="1">
      <alignment horizontal="center" vertical="center"/>
    </xf>
    <xf numFmtId="0" fontId="63" fillId="0" borderId="10" xfId="0" applyNumberFormat="1" applyFont="1" applyFill="1" applyBorder="1" applyAlignment="1">
      <alignment horizontal="center" vertical="center" wrapText="1"/>
    </xf>
    <xf numFmtId="0" fontId="63" fillId="0" borderId="10" xfId="0" applyNumberFormat="1" applyFont="1" applyFill="1" applyBorder="1" applyAlignment="1">
      <alignment horizontal="center" vertical="center" wrapText="1"/>
    </xf>
    <xf numFmtId="0" fontId="62" fillId="0" borderId="10" xfId="0" applyFont="1" applyFill="1" applyBorder="1" applyAlignment="1">
      <alignment horizontal="center" vertical="center"/>
    </xf>
    <xf numFmtId="0" fontId="62" fillId="0" borderId="0" xfId="0" applyFont="1" applyFill="1" applyBorder="1" applyAlignment="1">
      <alignment/>
    </xf>
    <xf numFmtId="0" fontId="62" fillId="0" borderId="10" xfId="0" applyFont="1" applyFill="1" applyBorder="1" applyAlignment="1">
      <alignment horizontal="center" vertical="center"/>
    </xf>
    <xf numFmtId="2" fontId="62" fillId="0" borderId="10" xfId="0" applyNumberFormat="1" applyFont="1" applyFill="1" applyBorder="1" applyAlignment="1">
      <alignment horizontal="center" vertical="center"/>
    </xf>
    <xf numFmtId="0" fontId="62" fillId="0" borderId="18" xfId="0" applyFont="1" applyFill="1" applyBorder="1" applyAlignment="1">
      <alignment horizontal="center" vertical="center" wrapText="1"/>
    </xf>
    <xf numFmtId="0" fontId="62" fillId="0" borderId="21" xfId="0" applyFont="1" applyFill="1" applyBorder="1" applyAlignment="1">
      <alignment horizontal="center" vertical="center" wrapText="1"/>
    </xf>
    <xf numFmtId="0" fontId="62" fillId="0" borderId="22" xfId="0" applyFont="1" applyFill="1" applyBorder="1" applyAlignment="1">
      <alignment horizontal="center" vertical="center" wrapText="1"/>
    </xf>
    <xf numFmtId="49" fontId="63" fillId="0" borderId="18" xfId="0" applyNumberFormat="1" applyFont="1" applyFill="1" applyBorder="1" applyAlignment="1">
      <alignment horizontal="center" vertical="center" wrapText="1"/>
    </xf>
    <xf numFmtId="0" fontId="63" fillId="0" borderId="19" xfId="0" applyNumberFormat="1" applyFont="1" applyFill="1" applyBorder="1" applyAlignment="1">
      <alignment horizontal="center" vertical="center" wrapText="1"/>
    </xf>
    <xf numFmtId="0" fontId="63" fillId="0" borderId="24" xfId="0" applyNumberFormat="1" applyFont="1" applyFill="1" applyBorder="1" applyAlignment="1">
      <alignment horizontal="center" vertical="center" wrapText="1"/>
    </xf>
    <xf numFmtId="0" fontId="62" fillId="0" borderId="10" xfId="54" applyNumberFormat="1" applyFont="1" applyFill="1" applyBorder="1" applyAlignment="1">
      <alignment horizontal="center" vertical="center" wrapText="1"/>
      <protection/>
    </xf>
    <xf numFmtId="0" fontId="62" fillId="0" borderId="18" xfId="54" applyNumberFormat="1" applyFont="1" applyFill="1" applyBorder="1" applyAlignment="1">
      <alignment horizontal="center" vertical="center" wrapText="1"/>
      <protection/>
    </xf>
    <xf numFmtId="0" fontId="62" fillId="0" borderId="22" xfId="54" applyNumberFormat="1" applyFont="1" applyFill="1" applyBorder="1" applyAlignment="1">
      <alignment horizontal="center" vertical="center" wrapText="1"/>
      <protection/>
    </xf>
    <xf numFmtId="0" fontId="62" fillId="0" borderId="0" xfId="0" applyFont="1" applyFill="1" applyAlignment="1">
      <alignment/>
    </xf>
    <xf numFmtId="2" fontId="62" fillId="0" borderId="18" xfId="0" applyNumberFormat="1" applyFont="1" applyFill="1" applyBorder="1" applyAlignment="1">
      <alignment horizontal="center" vertical="center"/>
    </xf>
    <xf numFmtId="2" fontId="62" fillId="0" borderId="10" xfId="0" applyNumberFormat="1" applyFont="1" applyFill="1" applyBorder="1" applyAlignment="1">
      <alignment horizontal="center" vertical="center" wrapText="1"/>
    </xf>
    <xf numFmtId="2" fontId="62" fillId="0" borderId="21" xfId="0" applyNumberFormat="1" applyFont="1" applyFill="1" applyBorder="1" applyAlignment="1">
      <alignment horizontal="center" vertical="center"/>
    </xf>
    <xf numFmtId="166" fontId="62" fillId="0" borderId="10" xfId="0" applyNumberFormat="1" applyFont="1" applyFill="1" applyBorder="1" applyAlignment="1">
      <alignment horizontal="center" vertical="center"/>
    </xf>
    <xf numFmtId="0" fontId="63" fillId="0" borderId="27" xfId="0" applyFont="1" applyFill="1" applyBorder="1" applyAlignment="1">
      <alignment horizontal="center" vertical="center"/>
    </xf>
    <xf numFmtId="49" fontId="63" fillId="0" borderId="27" xfId="0" applyNumberFormat="1" applyFont="1" applyFill="1" applyBorder="1" applyAlignment="1">
      <alignment horizontal="center" vertical="center" wrapText="1"/>
    </xf>
    <xf numFmtId="49" fontId="63" fillId="0" borderId="10" xfId="0" applyNumberFormat="1" applyFont="1" applyFill="1" applyBorder="1" applyAlignment="1">
      <alignment horizontal="center" vertical="center" wrapText="1"/>
    </xf>
    <xf numFmtId="0" fontId="62" fillId="0" borderId="10" xfId="0" applyFont="1" applyFill="1" applyBorder="1" applyAlignment="1">
      <alignment horizontal="center" vertical="center" wrapText="1"/>
    </xf>
    <xf numFmtId="2" fontId="62" fillId="0" borderId="30" xfId="0" applyNumberFormat="1" applyFont="1" applyFill="1" applyBorder="1" applyAlignment="1">
      <alignment horizontal="center" vertical="center" wrapText="1"/>
    </xf>
    <xf numFmtId="2" fontId="62" fillId="0" borderId="31" xfId="0" applyNumberFormat="1" applyFont="1" applyFill="1" applyBorder="1" applyAlignment="1">
      <alignment horizontal="center" vertical="center" wrapText="1"/>
    </xf>
    <xf numFmtId="0" fontId="62" fillId="0" borderId="10" xfId="0" applyFont="1" applyFill="1" applyBorder="1" applyAlignment="1">
      <alignment horizontal="center" vertical="center" wrapText="1"/>
    </xf>
    <xf numFmtId="166" fontId="62" fillId="0" borderId="10" xfId="0" applyNumberFormat="1" applyFont="1" applyFill="1" applyBorder="1" applyAlignment="1">
      <alignment horizontal="center" vertical="center" wrapText="1"/>
    </xf>
    <xf numFmtId="0" fontId="62" fillId="0" borderId="16" xfId="0" applyFont="1" applyFill="1" applyBorder="1" applyAlignment="1">
      <alignment horizontal="center" vertical="center" wrapText="1"/>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0" fontId="63" fillId="0" borderId="25" xfId="0" applyFont="1" applyFill="1" applyBorder="1" applyAlignment="1">
      <alignment horizontal="center" vertical="center"/>
    </xf>
    <xf numFmtId="49" fontId="63" fillId="0" borderId="32" xfId="0" applyNumberFormat="1" applyFont="1" applyFill="1" applyBorder="1" applyAlignment="1">
      <alignment horizontal="center" vertical="center" wrapText="1"/>
    </xf>
    <xf numFmtId="0" fontId="62" fillId="0" borderId="32" xfId="0" applyFont="1" applyFill="1" applyBorder="1" applyAlignment="1">
      <alignment horizontal="center" vertical="center"/>
    </xf>
    <xf numFmtId="0" fontId="62" fillId="0" borderId="32" xfId="0" applyNumberFormat="1" applyFont="1" applyFill="1" applyBorder="1" applyAlignment="1">
      <alignment horizontal="center" vertical="center" wrapText="1"/>
    </xf>
    <xf numFmtId="2" fontId="62" fillId="0" borderId="32" xfId="0" applyNumberFormat="1" applyFont="1" applyFill="1" applyBorder="1" applyAlignment="1">
      <alignment horizontal="center" vertical="center"/>
    </xf>
    <xf numFmtId="2" fontId="62" fillId="0" borderId="32" xfId="0" applyNumberFormat="1" applyFont="1" applyFill="1" applyBorder="1" applyAlignment="1">
      <alignment horizontal="center" vertical="center" wrapText="1"/>
    </xf>
    <xf numFmtId="49" fontId="64" fillId="0" borderId="0" xfId="0" applyNumberFormat="1" applyFont="1" applyFill="1" applyAlignment="1">
      <alignment horizontal="center" vertical="center" wrapText="1"/>
    </xf>
    <xf numFmtId="49" fontId="65" fillId="0" borderId="0" xfId="0" applyNumberFormat="1" applyFont="1" applyFill="1" applyAlignment="1">
      <alignment horizontal="center" vertical="center" wrapText="1"/>
    </xf>
    <xf numFmtId="164" fontId="62" fillId="0" borderId="0" xfId="0" applyNumberFormat="1" applyFont="1" applyFill="1" applyAlignment="1">
      <alignment horizontal="center" vertical="center" wrapText="1"/>
    </xf>
    <xf numFmtId="49" fontId="62" fillId="0" borderId="0" xfId="0" applyNumberFormat="1" applyFont="1" applyFill="1" applyAlignment="1">
      <alignment horizontal="center" vertical="top" wrapText="1"/>
    </xf>
    <xf numFmtId="164" fontId="66" fillId="0" borderId="0" xfId="0" applyNumberFormat="1" applyFont="1" applyFill="1" applyAlignment="1" applyProtection="1">
      <alignment horizontal="left" vertical="center" wrapText="1"/>
      <protection locked="0"/>
    </xf>
    <xf numFmtId="49" fontId="67" fillId="0" borderId="0" xfId="53" applyNumberFormat="1" applyFont="1" applyFill="1" applyAlignment="1">
      <alignment horizontal="left" vertical="top" wrapText="1"/>
      <protection/>
    </xf>
    <xf numFmtId="0" fontId="23" fillId="0" borderId="0" xfId="0" applyFont="1" applyAlignment="1">
      <alignment vertical="center" wrapText="1"/>
    </xf>
    <xf numFmtId="0" fontId="26" fillId="0" borderId="0" xfId="0" applyFont="1" applyFill="1" applyAlignment="1" applyProtection="1">
      <alignment vertical="center" wrapText="1"/>
      <protection locked="0"/>
    </xf>
    <xf numFmtId="0" fontId="23" fillId="0" borderId="0" xfId="0" applyFont="1" applyBorder="1" applyAlignment="1">
      <alignment vertical="center" wrapText="1"/>
    </xf>
    <xf numFmtId="0" fontId="23" fillId="0" borderId="0" xfId="0" applyFont="1" applyFill="1" applyBorder="1" applyAlignment="1" applyProtection="1">
      <alignment vertical="center" wrapText="1"/>
      <protection locked="0"/>
    </xf>
    <xf numFmtId="49" fontId="68" fillId="0" borderId="0" xfId="0" applyNumberFormat="1" applyFont="1" applyFill="1" applyAlignment="1">
      <alignment horizontal="center" vertical="center"/>
    </xf>
    <xf numFmtId="49" fontId="68" fillId="0" borderId="0" xfId="0" applyNumberFormat="1" applyFont="1" applyFill="1" applyAlignment="1">
      <alignment horizontal="center"/>
    </xf>
    <xf numFmtId="49" fontId="68" fillId="0" borderId="0" xfId="0" applyNumberFormat="1" applyFont="1" applyFill="1" applyAlignment="1">
      <alignment/>
    </xf>
    <xf numFmtId="164" fontId="68" fillId="0" borderId="0" xfId="0" applyNumberFormat="1" applyFont="1" applyFill="1" applyAlignment="1">
      <alignment/>
    </xf>
    <xf numFmtId="49" fontId="69" fillId="0" borderId="0" xfId="0" applyNumberFormat="1" applyFont="1" applyFill="1" applyAlignment="1">
      <alignment/>
    </xf>
    <xf numFmtId="49" fontId="70" fillId="0" borderId="0" xfId="0" applyNumberFormat="1" applyFont="1" applyFill="1" applyAlignment="1">
      <alignment horizontal="center" vertical="top" wrapText="1"/>
    </xf>
    <xf numFmtId="49" fontId="63" fillId="0" borderId="11" xfId="52" applyNumberFormat="1" applyFont="1" applyFill="1" applyBorder="1" applyAlignment="1">
      <alignment horizontal="center" vertical="center" wrapText="1"/>
      <protection/>
    </xf>
    <xf numFmtId="49" fontId="63" fillId="0" borderId="12" xfId="52" applyNumberFormat="1" applyFont="1" applyFill="1" applyBorder="1" applyAlignment="1">
      <alignment horizontal="center" vertical="center" wrapText="1"/>
      <protection/>
    </xf>
    <xf numFmtId="164" fontId="63" fillId="0" borderId="12" xfId="52" applyNumberFormat="1" applyFont="1" applyFill="1" applyBorder="1" applyAlignment="1">
      <alignment horizontal="center" vertical="center" wrapText="1"/>
      <protection/>
    </xf>
    <xf numFmtId="0" fontId="63" fillId="0" borderId="16" xfId="0" applyNumberFormat="1" applyFont="1" applyFill="1" applyBorder="1" applyAlignment="1">
      <alignment horizontal="center" vertical="center" wrapText="1"/>
    </xf>
    <xf numFmtId="49" fontId="62" fillId="0" borderId="17" xfId="0" applyNumberFormat="1" applyFont="1" applyFill="1" applyBorder="1" applyAlignment="1">
      <alignment horizontal="center" vertical="center" wrapText="1"/>
    </xf>
    <xf numFmtId="49" fontId="62" fillId="0" borderId="20" xfId="0" applyNumberFormat="1" applyFont="1" applyFill="1" applyBorder="1" applyAlignment="1">
      <alignment horizontal="center" vertical="center" wrapText="1"/>
    </xf>
    <xf numFmtId="0" fontId="62" fillId="0" borderId="21" xfId="0" applyNumberFormat="1" applyFont="1" applyFill="1" applyBorder="1" applyAlignment="1">
      <alignment horizontal="center" vertical="center" wrapText="1"/>
    </xf>
    <xf numFmtId="49" fontId="62" fillId="0" borderId="23" xfId="0" applyNumberFormat="1" applyFont="1" applyFill="1" applyBorder="1" applyAlignment="1">
      <alignment horizontal="center" vertical="center" wrapText="1"/>
    </xf>
    <xf numFmtId="167" fontId="62" fillId="0" borderId="0" xfId="0" applyNumberFormat="1" applyFont="1" applyFill="1" applyAlignment="1">
      <alignment horizontal="center" vertical="center" wrapText="1"/>
    </xf>
    <xf numFmtId="0" fontId="62" fillId="0" borderId="16" xfId="0" applyNumberFormat="1" applyFont="1" applyFill="1" applyBorder="1" applyAlignment="1">
      <alignment horizontal="center" vertical="center" wrapText="1"/>
    </xf>
    <xf numFmtId="0" fontId="62" fillId="0" borderId="0" xfId="0" applyFont="1" applyFill="1" applyBorder="1" applyAlignment="1">
      <alignment horizontal="center" vertical="center"/>
    </xf>
    <xf numFmtId="0" fontId="62" fillId="0" borderId="28" xfId="0" applyFont="1" applyFill="1" applyBorder="1" applyAlignment="1">
      <alignment horizontal="center" vertical="center" wrapText="1"/>
    </xf>
    <xf numFmtId="0" fontId="62" fillId="0" borderId="20"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27" xfId="0" applyFont="1" applyFill="1" applyBorder="1" applyAlignment="1">
      <alignment horizontal="center" vertical="center"/>
    </xf>
    <xf numFmtId="49" fontId="62" fillId="0" borderId="27" xfId="0" applyNumberFormat="1" applyFont="1" applyFill="1" applyBorder="1" applyAlignment="1">
      <alignment horizontal="center" vertical="center" wrapText="1"/>
    </xf>
    <xf numFmtId="0" fontId="62" fillId="0" borderId="17" xfId="0" applyFont="1" applyFill="1" applyBorder="1" applyAlignment="1">
      <alignment horizontal="center" vertical="center"/>
    </xf>
    <xf numFmtId="0" fontId="62" fillId="0" borderId="27"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33" xfId="0" applyFont="1" applyFill="1" applyBorder="1" applyAlignment="1">
      <alignment horizontal="center" vertical="center"/>
    </xf>
    <xf numFmtId="166" fontId="62" fillId="0" borderId="32" xfId="0" applyNumberFormat="1" applyFont="1" applyFill="1" applyBorder="1" applyAlignment="1">
      <alignment horizontal="center" vertical="center" wrapText="1"/>
    </xf>
    <xf numFmtId="0" fontId="62" fillId="0" borderId="0" xfId="0" applyFont="1" applyFill="1" applyAlignment="1">
      <alignment/>
    </xf>
    <xf numFmtId="0" fontId="62" fillId="0" borderId="0" xfId="0" applyFont="1" applyFill="1" applyAlignment="1">
      <alignment horizontal="center" vertical="center"/>
    </xf>
    <xf numFmtId="0" fontId="62" fillId="0" borderId="10" xfId="0" applyNumberFormat="1" applyFont="1" applyFill="1" applyBorder="1" applyAlignment="1">
      <alignment horizontal="center" vertical="center" wrapText="1"/>
    </xf>
    <xf numFmtId="0" fontId="62" fillId="0" borderId="0" xfId="0" applyFont="1" applyFill="1" applyBorder="1" applyAlignment="1">
      <alignment vertical="center"/>
    </xf>
    <xf numFmtId="0" fontId="71" fillId="0" borderId="0" xfId="0" applyFont="1" applyFill="1" applyAlignment="1">
      <alignment/>
    </xf>
    <xf numFmtId="49" fontId="62" fillId="0" borderId="0" xfId="0" applyNumberFormat="1" applyFont="1" applyFill="1" applyBorder="1" applyAlignment="1">
      <alignment vertical="center" wrapText="1"/>
    </xf>
    <xf numFmtId="0" fontId="21" fillId="0" borderId="0" xfId="0" applyFont="1" applyFill="1" applyAlignment="1">
      <alignment vertical="center"/>
    </xf>
    <xf numFmtId="0" fontId="22" fillId="0" borderId="0" xfId="0" applyFont="1" applyFill="1" applyAlignment="1">
      <alignment vertical="center"/>
    </xf>
    <xf numFmtId="0" fontId="24" fillId="0" borderId="0" xfId="0" applyFont="1" applyFill="1" applyAlignment="1">
      <alignment horizontal="center" vertical="center"/>
    </xf>
    <xf numFmtId="0" fontId="20" fillId="0" borderId="0" xfId="0" applyFont="1" applyFill="1" applyAlignment="1">
      <alignment horizontal="center" vertical="center"/>
    </xf>
    <xf numFmtId="0" fontId="20" fillId="0" borderId="0" xfId="0" applyFont="1" applyFill="1" applyAlignment="1">
      <alignment horizontal="center" vertical="center" wrapText="1"/>
    </xf>
    <xf numFmtId="0" fontId="24" fillId="0" borderId="0" xfId="0" applyFont="1" applyFill="1" applyAlignment="1">
      <alignment horizontal="left" vertical="center"/>
    </xf>
    <xf numFmtId="0" fontId="23" fillId="0" borderId="0" xfId="0" applyFont="1" applyFill="1" applyAlignment="1">
      <alignment horizontal="left" vertical="center"/>
    </xf>
    <xf numFmtId="4" fontId="43" fillId="0" borderId="0" xfId="0" applyNumberFormat="1" applyFont="1" applyFill="1" applyAlignment="1">
      <alignment horizontal="left" vertical="center"/>
    </xf>
    <xf numFmtId="4" fontId="18" fillId="0" borderId="0" xfId="0" applyNumberFormat="1" applyFont="1" applyFill="1" applyAlignment="1">
      <alignment horizontal="left" vertical="center"/>
    </xf>
    <xf numFmtId="0" fontId="21" fillId="0" borderId="0" xfId="0" applyFont="1" applyFill="1" applyAlignment="1">
      <alignment horizontal="left" vertical="center"/>
    </xf>
    <xf numFmtId="4" fontId="26" fillId="0" borderId="0" xfId="0" applyNumberFormat="1" applyFont="1" applyFill="1" applyAlignment="1">
      <alignment horizontal="left" vertical="center"/>
    </xf>
    <xf numFmtId="4" fontId="18" fillId="0" borderId="0" xfId="0" applyNumberFormat="1" applyFont="1" applyFill="1" applyAlignment="1">
      <alignment horizontal="center" vertical="center"/>
    </xf>
    <xf numFmtId="0" fontId="29" fillId="0" borderId="34" xfId="52" applyFont="1" applyFill="1" applyBorder="1" applyAlignment="1">
      <alignment horizontal="center" vertical="center" wrapText="1"/>
      <protection/>
    </xf>
    <xf numFmtId="0" fontId="29" fillId="0" borderId="35" xfId="52" applyFont="1" applyFill="1" applyBorder="1" applyAlignment="1">
      <alignment horizontal="center" vertical="center" wrapText="1"/>
      <protection/>
    </xf>
    <xf numFmtId="4" fontId="29" fillId="0" borderId="35" xfId="52" applyNumberFormat="1" applyFont="1" applyFill="1" applyBorder="1" applyAlignment="1">
      <alignment horizontal="center" vertical="center" wrapText="1"/>
      <protection/>
    </xf>
    <xf numFmtId="0" fontId="29" fillId="0" borderId="36" xfId="52" applyFont="1" applyFill="1" applyBorder="1" applyAlignment="1">
      <alignment horizontal="center" vertical="center" wrapText="1"/>
      <protection/>
    </xf>
    <xf numFmtId="0" fontId="29" fillId="0" borderId="37" xfId="0" applyFont="1" applyFill="1" applyBorder="1" applyAlignment="1">
      <alignment horizontal="center" vertical="center" wrapText="1"/>
    </xf>
    <xf numFmtId="0" fontId="29" fillId="0" borderId="38" xfId="0" applyFont="1" applyFill="1" applyBorder="1" applyAlignment="1">
      <alignment horizontal="center" vertical="center" wrapText="1"/>
    </xf>
    <xf numFmtId="0" fontId="29" fillId="0" borderId="39"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4" fontId="18" fillId="0" borderId="28" xfId="0" applyNumberFormat="1"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10" xfId="0" applyFont="1" applyFill="1" applyBorder="1" applyAlignment="1">
      <alignment horizontal="center" wrapText="1"/>
    </xf>
    <xf numFmtId="0" fontId="18" fillId="0" borderId="10" xfId="0" applyFont="1" applyFill="1" applyBorder="1" applyAlignment="1">
      <alignment horizontal="center"/>
    </xf>
    <xf numFmtId="2" fontId="18" fillId="0" borderId="10" xfId="0" applyNumberFormat="1" applyFont="1" applyFill="1" applyBorder="1" applyAlignment="1">
      <alignment horizontal="center" wrapText="1"/>
    </xf>
    <xf numFmtId="2" fontId="18" fillId="0" borderId="10" xfId="0" applyNumberFormat="1" applyFont="1" applyFill="1" applyBorder="1" applyAlignment="1">
      <alignment horizontal="center"/>
    </xf>
    <xf numFmtId="0" fontId="18" fillId="0" borderId="18" xfId="0" applyFont="1" applyFill="1" applyBorder="1" applyAlignment="1">
      <alignment horizontal="center" wrapText="1"/>
    </xf>
    <xf numFmtId="0" fontId="18" fillId="0" borderId="18" xfId="0" applyFont="1" applyFill="1" applyBorder="1" applyAlignment="1">
      <alignment horizontal="center" vertical="center" wrapText="1"/>
    </xf>
    <xf numFmtId="2" fontId="18" fillId="0" borderId="18" xfId="0" applyNumberFormat="1" applyFont="1" applyFill="1" applyBorder="1" applyAlignment="1">
      <alignment horizontal="center" wrapText="1"/>
    </xf>
    <xf numFmtId="2" fontId="18" fillId="0" borderId="18" xfId="0" applyNumberFormat="1" applyFont="1" applyFill="1" applyBorder="1" applyAlignment="1">
      <alignment horizontal="center"/>
    </xf>
    <xf numFmtId="0" fontId="18" fillId="0" borderId="17" xfId="0" applyFont="1" applyFill="1" applyBorder="1" applyAlignment="1">
      <alignment horizontal="center" vertical="top"/>
    </xf>
    <xf numFmtId="49" fontId="18" fillId="0" borderId="18" xfId="0" applyNumberFormat="1" applyFont="1" applyFill="1" applyBorder="1" applyAlignment="1">
      <alignment horizontal="center" vertical="top" wrapText="1"/>
    </xf>
    <xf numFmtId="0" fontId="18" fillId="0" borderId="20" xfId="0" applyFont="1" applyFill="1" applyBorder="1" applyAlignment="1">
      <alignment horizontal="center" vertical="top"/>
    </xf>
    <xf numFmtId="49" fontId="18" fillId="0" borderId="21" xfId="0" applyNumberFormat="1" applyFont="1" applyFill="1" applyBorder="1" applyAlignment="1">
      <alignment horizontal="center" vertical="top" wrapText="1"/>
    </xf>
    <xf numFmtId="0" fontId="18" fillId="0" borderId="10" xfId="0" applyNumberFormat="1" applyFont="1" applyFill="1" applyBorder="1" applyAlignment="1">
      <alignment horizontal="center" vertical="center" wrapText="1"/>
    </xf>
    <xf numFmtId="2" fontId="18" fillId="0" borderId="10" xfId="0" applyNumberFormat="1" applyFont="1" applyFill="1" applyBorder="1" applyAlignment="1">
      <alignment horizontal="center" vertical="center"/>
    </xf>
    <xf numFmtId="2" fontId="18" fillId="0" borderId="10" xfId="0" applyNumberFormat="1"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0" xfId="0" applyNumberFormat="1" applyFont="1" applyFill="1" applyBorder="1" applyAlignment="1">
      <alignment horizontal="center" vertical="center" wrapText="1"/>
    </xf>
    <xf numFmtId="2" fontId="18" fillId="0" borderId="10" xfId="0" applyNumberFormat="1"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3" xfId="0" applyFont="1" applyFill="1" applyBorder="1" applyAlignment="1">
      <alignment horizontal="center" vertical="center"/>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4" xfId="0" applyFont="1" applyFill="1" applyBorder="1" applyAlignment="1">
      <alignment horizontal="center" vertical="center"/>
    </xf>
    <xf numFmtId="0" fontId="29" fillId="0" borderId="15"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27" xfId="0" applyFont="1" applyFill="1" applyBorder="1" applyAlignment="1">
      <alignment horizontal="center" vertical="center" wrapText="1"/>
    </xf>
    <xf numFmtId="0" fontId="18" fillId="0" borderId="10"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31" xfId="0" applyFont="1" applyFill="1" applyBorder="1" applyAlignment="1">
      <alignment horizontal="center" vertical="center" wrapText="1"/>
    </xf>
    <xf numFmtId="49" fontId="18" fillId="0" borderId="10" xfId="0" applyNumberFormat="1" applyFont="1" applyFill="1" applyBorder="1" applyAlignment="1">
      <alignment horizontal="center" vertical="center" wrapText="1"/>
    </xf>
    <xf numFmtId="166" fontId="18" fillId="0" borderId="10" xfId="0" applyNumberFormat="1" applyFont="1" applyFill="1" applyBorder="1" applyAlignment="1">
      <alignment horizontal="center" vertical="center" wrapText="1"/>
    </xf>
    <xf numFmtId="0" fontId="18" fillId="0" borderId="40" xfId="0" applyFont="1" applyFill="1" applyBorder="1" applyAlignment="1">
      <alignment horizontal="center" vertical="center" wrapText="1"/>
    </xf>
    <xf numFmtId="166" fontId="18" fillId="0" borderId="10" xfId="0" applyNumberFormat="1"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21" xfId="0" applyFont="1" applyFill="1" applyBorder="1" applyAlignment="1">
      <alignment horizontal="center" vertical="center"/>
    </xf>
    <xf numFmtId="4" fontId="18" fillId="0" borderId="10" xfId="0" applyNumberFormat="1"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xf>
    <xf numFmtId="4" fontId="18" fillId="0" borderId="30" xfId="0" applyNumberFormat="1" applyFont="1" applyFill="1" applyBorder="1" applyAlignment="1">
      <alignment horizontal="center" vertical="center" wrapText="1"/>
    </xf>
    <xf numFmtId="4" fontId="18" fillId="0" borderId="31" xfId="0" applyNumberFormat="1"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8" fillId="33" borderId="19" xfId="0" applyFont="1" applyFill="1" applyBorder="1" applyAlignment="1">
      <alignment horizontal="center" vertical="center" wrapText="1"/>
    </xf>
    <xf numFmtId="0" fontId="18" fillId="33" borderId="15" xfId="0" applyFont="1" applyFill="1" applyBorder="1" applyAlignment="1">
      <alignment horizontal="center" vertical="center" wrapText="1"/>
    </xf>
    <xf numFmtId="4" fontId="18" fillId="33" borderId="16" xfId="0" applyNumberFormat="1" applyFont="1" applyFill="1" applyBorder="1" applyAlignment="1">
      <alignment horizontal="center" vertical="center" wrapText="1"/>
    </xf>
    <xf numFmtId="0" fontId="18" fillId="33" borderId="18" xfId="0" applyFont="1" applyFill="1" applyBorder="1" applyAlignment="1">
      <alignment horizontal="center" vertical="center" wrapText="1"/>
    </xf>
    <xf numFmtId="4" fontId="18" fillId="0" borderId="19" xfId="0" applyNumberFormat="1"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33" borderId="22" xfId="0" applyFont="1" applyFill="1" applyBorder="1" applyAlignment="1">
      <alignment horizontal="center" vertical="center" wrapText="1"/>
    </xf>
    <xf numFmtId="4" fontId="18" fillId="33" borderId="10" xfId="0" applyNumberFormat="1" applyFont="1" applyFill="1" applyBorder="1" applyAlignment="1">
      <alignment horizontal="center" vertical="center"/>
    </xf>
    <xf numFmtId="0" fontId="18" fillId="0" borderId="29" xfId="0" applyFont="1" applyFill="1" applyBorder="1" applyAlignment="1">
      <alignment horizontal="center" vertical="center" wrapText="1"/>
    </xf>
    <xf numFmtId="4" fontId="18" fillId="0" borderId="10" xfId="0" applyNumberFormat="1" applyFont="1" applyFill="1" applyBorder="1" applyAlignment="1">
      <alignment horizontal="center" vertical="center"/>
    </xf>
    <xf numFmtId="16" fontId="29" fillId="0" borderId="14" xfId="0" applyNumberFormat="1" applyFont="1" applyFill="1" applyBorder="1" applyAlignment="1">
      <alignment horizontal="center" vertical="center" wrapText="1"/>
    </xf>
    <xf numFmtId="16" fontId="29" fillId="0" borderId="15" xfId="0" applyNumberFormat="1" applyFont="1" applyFill="1" applyBorder="1" applyAlignment="1">
      <alignment horizontal="center" vertical="center" wrapText="1"/>
    </xf>
    <xf numFmtId="0" fontId="18" fillId="0" borderId="33" xfId="0" applyFont="1" applyFill="1" applyBorder="1" applyAlignment="1">
      <alignment horizontal="center" vertical="center" wrapText="1"/>
    </xf>
    <xf numFmtId="0" fontId="18" fillId="0" borderId="32" xfId="0" applyFont="1" applyFill="1" applyBorder="1" applyAlignment="1">
      <alignment horizontal="center" vertical="center"/>
    </xf>
    <xf numFmtId="0" fontId="18" fillId="0" borderId="32" xfId="0" applyFont="1" applyFill="1" applyBorder="1" applyAlignment="1">
      <alignment horizontal="center" vertical="center" wrapText="1"/>
    </xf>
    <xf numFmtId="4" fontId="18" fillId="0" borderId="32" xfId="0" applyNumberFormat="1" applyFont="1" applyFill="1" applyBorder="1" applyAlignment="1">
      <alignment horizontal="center"/>
    </xf>
    <xf numFmtId="49" fontId="18" fillId="0" borderId="0" xfId="0" applyNumberFormat="1" applyFont="1" applyFill="1" applyBorder="1" applyAlignment="1">
      <alignment horizontal="center" vertical="center"/>
    </xf>
    <xf numFmtId="0" fontId="18" fillId="0" borderId="0" xfId="0" applyFont="1" applyFill="1" applyAlignment="1">
      <alignment horizontal="right" vertical="center"/>
    </xf>
    <xf numFmtId="0" fontId="18" fillId="0" borderId="0" xfId="0" applyFont="1" applyFill="1" applyAlignment="1">
      <alignment vertical="center"/>
    </xf>
    <xf numFmtId="0" fontId="29" fillId="0" borderId="0" xfId="0" applyFont="1" applyFill="1" applyAlignment="1">
      <alignment vertical="center" wrapText="1"/>
    </xf>
    <xf numFmtId="4" fontId="18" fillId="0" borderId="0" xfId="0" applyNumberFormat="1" applyFont="1" applyFill="1" applyAlignment="1">
      <alignment vertical="center"/>
    </xf>
    <xf numFmtId="0" fontId="18" fillId="0" borderId="0" xfId="0" applyFont="1" applyFill="1" applyAlignment="1">
      <alignment horizontal="center" vertical="center"/>
    </xf>
    <xf numFmtId="0" fontId="29" fillId="0" borderId="0" xfId="0" applyFont="1" applyFill="1" applyAlignment="1">
      <alignment horizontal="left" vertical="center" wrapText="1"/>
    </xf>
    <xf numFmtId="0" fontId="18" fillId="0" borderId="0" xfId="0" applyFont="1" applyFill="1" applyAlignment="1">
      <alignment horizontal="left" wrapText="1"/>
    </xf>
    <xf numFmtId="0" fontId="18" fillId="0" borderId="0" xfId="0" applyFont="1" applyFill="1" applyAlignment="1">
      <alignment/>
    </xf>
    <xf numFmtId="0" fontId="23" fillId="0" borderId="0" xfId="0" applyFont="1" applyFill="1" applyAlignment="1">
      <alignment vertical="center" wrapText="1"/>
    </xf>
    <xf numFmtId="0" fontId="23" fillId="0" borderId="0" xfId="0" applyFont="1" applyFill="1" applyBorder="1" applyAlignment="1">
      <alignment vertical="center" wrapText="1"/>
    </xf>
    <xf numFmtId="4" fontId="20" fillId="0" borderId="0" xfId="0" applyNumberFormat="1" applyFont="1" applyFill="1" applyAlignment="1">
      <alignment horizontal="center" vertical="center"/>
    </xf>
    <xf numFmtId="0" fontId="62" fillId="0" borderId="20" xfId="0" applyFont="1" applyFill="1" applyBorder="1" applyAlignment="1">
      <alignment horizontal="center" vertical="center" wrapText="1"/>
    </xf>
    <xf numFmtId="0" fontId="62" fillId="0" borderId="23" xfId="0" applyFont="1" applyFill="1" applyBorder="1" applyAlignment="1">
      <alignment horizontal="center" vertical="center" wrapText="1"/>
    </xf>
    <xf numFmtId="0" fontId="62" fillId="0" borderId="41"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2" fillId="0" borderId="28" xfId="0" applyFont="1" applyFill="1" applyBorder="1" applyAlignment="1">
      <alignment horizontal="center" vertical="center" wrapText="1"/>
    </xf>
    <xf numFmtId="0" fontId="62" fillId="0" borderId="42" xfId="0" applyFont="1" applyFill="1" applyBorder="1" applyAlignment="1">
      <alignment horizontal="center" vertical="center" wrapText="1"/>
    </xf>
    <xf numFmtId="2" fontId="18" fillId="33" borderId="10" xfId="0" applyNumberFormat="1" applyFont="1" applyFill="1" applyBorder="1" applyAlignment="1">
      <alignment horizontal="center" vertical="center"/>
    </xf>
    <xf numFmtId="49" fontId="63" fillId="0" borderId="0" xfId="0" applyNumberFormat="1" applyFont="1" applyFill="1" applyAlignment="1">
      <alignment horizontal="center" vertical="center"/>
    </xf>
    <xf numFmtId="49" fontId="64" fillId="0" borderId="0" xfId="0" applyNumberFormat="1" applyFont="1" applyFill="1" applyAlignment="1">
      <alignment/>
    </xf>
    <xf numFmtId="49" fontId="65" fillId="0" borderId="0" xfId="0" applyNumberFormat="1" applyFont="1" applyFill="1" applyAlignment="1">
      <alignment/>
    </xf>
    <xf numFmtId="0" fontId="29" fillId="0" borderId="0" xfId="0" applyFont="1" applyFill="1" applyAlignment="1" applyProtection="1">
      <alignment horizontal="left" vertical="center" wrapText="1"/>
      <protection locked="0"/>
    </xf>
    <xf numFmtId="0" fontId="29" fillId="0" borderId="0" xfId="0" applyFont="1" applyFill="1" applyAlignment="1" applyProtection="1">
      <alignment horizontal="left" vertical="center" wrapText="1"/>
      <protection locked="0"/>
    </xf>
    <xf numFmtId="0" fontId="62" fillId="0" borderId="17" xfId="0" applyNumberFormat="1" applyFont="1" applyFill="1" applyBorder="1" applyAlignment="1">
      <alignment horizontal="center" vertical="center" wrapText="1"/>
    </xf>
    <xf numFmtId="0" fontId="62" fillId="0" borderId="20" xfId="0" applyNumberFormat="1" applyFont="1" applyFill="1" applyBorder="1" applyAlignment="1">
      <alignment horizontal="center" vertical="center" wrapText="1"/>
    </xf>
    <xf numFmtId="166" fontId="18" fillId="33" borderId="10" xfId="0" applyNumberFormat="1" applyFont="1" applyFill="1" applyBorder="1" applyAlignment="1">
      <alignment horizontal="center" vertical="center" wrapText="1"/>
    </xf>
    <xf numFmtId="49" fontId="18" fillId="33" borderId="10" xfId="0" applyNumberFormat="1" applyFont="1" applyFill="1" applyBorder="1" applyAlignment="1">
      <alignment horizontal="center" vertical="center" wrapText="1"/>
    </xf>
    <xf numFmtId="49" fontId="18" fillId="33" borderId="16" xfId="0" applyNumberFormat="1" applyFont="1" applyFill="1" applyBorder="1" applyAlignment="1">
      <alignment horizontal="center" vertical="center" wrapText="1"/>
    </xf>
    <xf numFmtId="2" fontId="18" fillId="33" borderId="10" xfId="0" applyNumberFormat="1" applyFont="1" applyFill="1" applyBorder="1" applyAlignment="1">
      <alignment horizontal="center" vertical="center" wrapText="1"/>
    </xf>
    <xf numFmtId="166" fontId="18" fillId="33" borderId="10" xfId="0" applyNumberFormat="1" applyFont="1" applyFill="1" applyBorder="1" applyAlignment="1">
      <alignment horizontal="center" vertical="center"/>
    </xf>
    <xf numFmtId="164" fontId="18" fillId="0" borderId="10" xfId="0" applyNumberFormat="1" applyFont="1" applyFill="1" applyBorder="1" applyAlignment="1">
      <alignment horizontal="center" vertical="center" wrapText="1"/>
    </xf>
    <xf numFmtId="49" fontId="18" fillId="0" borderId="16" xfId="0" applyNumberFormat="1" applyFont="1" applyFill="1" applyBorder="1" applyAlignment="1">
      <alignment horizontal="center" vertical="center" wrapText="1"/>
    </xf>
    <xf numFmtId="49" fontId="63" fillId="0" borderId="16" xfId="0" applyNumberFormat="1" applyFont="1" applyFill="1" applyBorder="1" applyAlignment="1">
      <alignment horizontal="center" vertical="center" wrapText="1"/>
    </xf>
    <xf numFmtId="0" fontId="62" fillId="0" borderId="10" xfId="54" applyNumberFormat="1" applyFont="1" applyFill="1" applyBorder="1" applyAlignment="1">
      <alignment horizontal="center" vertical="center" wrapText="1"/>
      <protection/>
    </xf>
    <xf numFmtId="2" fontId="18" fillId="0" borderId="32" xfId="0" applyNumberFormat="1" applyFont="1" applyFill="1" applyBorder="1" applyAlignment="1">
      <alignment horizontal="center" vertical="center" wrapText="1"/>
    </xf>
    <xf numFmtId="166" fontId="18" fillId="0" borderId="32" xfId="0" applyNumberFormat="1" applyFont="1" applyFill="1" applyBorder="1" applyAlignment="1">
      <alignment horizontal="center" vertical="center" wrapText="1"/>
    </xf>
    <xf numFmtId="49" fontId="62" fillId="0" borderId="0" xfId="0" applyNumberFormat="1" applyFont="1" applyFill="1" applyBorder="1" applyAlignment="1">
      <alignment horizontal="center" vertical="center" wrapText="1"/>
    </xf>
    <xf numFmtId="164" fontId="62" fillId="0" borderId="0" xfId="0" applyNumberFormat="1" applyFont="1" applyFill="1" applyBorder="1" applyAlignment="1">
      <alignment horizontal="center" vertical="center" wrapText="1"/>
    </xf>
    <xf numFmtId="49" fontId="62" fillId="0" borderId="0" xfId="0" applyNumberFormat="1" applyFont="1" applyFill="1" applyBorder="1" applyAlignment="1">
      <alignment horizontal="left" vertical="center" wrapText="1"/>
    </xf>
    <xf numFmtId="49" fontId="18" fillId="0" borderId="18" xfId="0" applyNumberFormat="1" applyFont="1" applyFill="1" applyBorder="1" applyAlignment="1">
      <alignment horizontal="center" vertical="center" wrapText="1"/>
    </xf>
    <xf numFmtId="49" fontId="18" fillId="0" borderId="21" xfId="0" applyNumberFormat="1" applyFont="1" applyFill="1" applyBorder="1" applyAlignment="1">
      <alignment horizontal="center" vertical="center" wrapText="1"/>
    </xf>
    <xf numFmtId="49" fontId="18" fillId="0" borderId="22" xfId="0" applyNumberFormat="1" applyFont="1" applyFill="1" applyBorder="1" applyAlignment="1">
      <alignment horizontal="center" vertical="center" wrapText="1"/>
    </xf>
    <xf numFmtId="49" fontId="70" fillId="0" borderId="0" xfId="0" applyNumberFormat="1" applyFont="1" applyFill="1" applyAlignment="1">
      <alignment horizontal="center" vertical="center"/>
    </xf>
    <xf numFmtId="49" fontId="70" fillId="0" borderId="0" xfId="0" applyNumberFormat="1" applyFont="1" applyFill="1" applyAlignment="1">
      <alignment horizontal="center" vertical="center" wrapText="1"/>
    </xf>
    <xf numFmtId="164" fontId="70" fillId="0" borderId="0" xfId="0" applyNumberFormat="1" applyFont="1" applyFill="1" applyAlignment="1">
      <alignment horizontal="center" vertical="center" wrapText="1"/>
    </xf>
    <xf numFmtId="166" fontId="62" fillId="0" borderId="0" xfId="0" applyNumberFormat="1" applyFont="1" applyFill="1" applyBorder="1" applyAlignment="1">
      <alignment horizontal="center" vertical="center" wrapText="1"/>
    </xf>
    <xf numFmtId="167" fontId="62" fillId="0" borderId="0" xfId="0" applyNumberFormat="1" applyFont="1" applyFill="1" applyBorder="1" applyAlignment="1">
      <alignment horizontal="center" vertical="center" wrapText="1"/>
    </xf>
    <xf numFmtId="0" fontId="62" fillId="0" borderId="0" xfId="0" applyFont="1" applyFill="1" applyBorder="1" applyAlignment="1">
      <alignment/>
    </xf>
    <xf numFmtId="0" fontId="23" fillId="0" borderId="0" xfId="0" applyFont="1" applyFill="1" applyBorder="1" applyAlignment="1">
      <alignment vertical="center" wrapText="1"/>
    </xf>
    <xf numFmtId="0" fontId="66" fillId="0" borderId="0" xfId="0" applyFont="1" applyFill="1" applyAlignment="1" applyProtection="1">
      <alignment vertical="center" wrapText="1"/>
      <protection locked="0"/>
    </xf>
    <xf numFmtId="0" fontId="70" fillId="0" borderId="0" xfId="0" applyFont="1" applyFill="1" applyBorder="1" applyAlignment="1">
      <alignment vertical="center" wrapText="1"/>
    </xf>
    <xf numFmtId="164" fontId="70" fillId="0" borderId="0" xfId="0" applyNumberFormat="1" applyFont="1" applyFill="1" applyAlignment="1">
      <alignment horizontal="center" vertical="center"/>
    </xf>
    <xf numFmtId="164" fontId="66" fillId="0" borderId="0" xfId="0" applyNumberFormat="1" applyFont="1" applyFill="1" applyAlignment="1" applyProtection="1">
      <alignment horizontal="center" vertical="center" wrapText="1"/>
      <protection locked="0"/>
    </xf>
    <xf numFmtId="0" fontId="66" fillId="0" borderId="0" xfId="0" applyFont="1" applyFill="1" applyAlignment="1" applyProtection="1">
      <alignment horizontal="center" vertical="center" wrapText="1"/>
      <protection locked="0"/>
    </xf>
    <xf numFmtId="49" fontId="67" fillId="0" borderId="0" xfId="53" applyNumberFormat="1" applyFont="1" applyFill="1" applyAlignment="1">
      <alignment horizontal="center" vertical="center" wrapText="1"/>
      <protection/>
    </xf>
    <xf numFmtId="2" fontId="62" fillId="0" borderId="10" xfId="0" applyNumberFormat="1" applyFont="1" applyFill="1" applyBorder="1" applyAlignment="1">
      <alignment horizontal="center" vertical="center" wrapText="1"/>
    </xf>
    <xf numFmtId="0" fontId="63" fillId="0" borderId="10" xfId="0" applyFont="1" applyFill="1" applyBorder="1" applyAlignment="1">
      <alignment horizontal="center" vertical="center"/>
    </xf>
    <xf numFmtId="0" fontId="23" fillId="0" borderId="0" xfId="0" applyFont="1" applyFill="1" applyAlignment="1" applyProtection="1">
      <alignment vertical="center" wrapText="1"/>
      <protection locked="0"/>
    </xf>
    <xf numFmtId="49" fontId="26" fillId="0" borderId="0" xfId="53" applyNumberFormat="1" applyFont="1" applyFill="1" applyAlignment="1">
      <alignment horizontal="center" vertical="top" wrapText="1"/>
      <protection/>
    </xf>
    <xf numFmtId="49" fontId="29" fillId="0" borderId="27" xfId="0" applyNumberFormat="1" applyFont="1" applyFill="1" applyBorder="1" applyAlignment="1">
      <alignment horizontal="center" vertical="center" wrapText="1"/>
    </xf>
    <xf numFmtId="49" fontId="29" fillId="0" borderId="10" xfId="0" applyNumberFormat="1" applyFont="1" applyFill="1" applyBorder="1" applyAlignment="1">
      <alignment horizontal="center" vertical="center" wrapText="1"/>
    </xf>
    <xf numFmtId="49" fontId="18" fillId="0" borderId="27" xfId="0" applyNumberFormat="1" applyFont="1" applyFill="1" applyBorder="1" applyAlignment="1">
      <alignment horizontal="center" vertical="center" wrapText="1"/>
    </xf>
    <xf numFmtId="49" fontId="18" fillId="0" borderId="16" xfId="0" applyNumberFormat="1" applyFont="1" applyFill="1" applyBorder="1" applyAlignment="1">
      <alignment vertical="center" wrapText="1"/>
    </xf>
    <xf numFmtId="49" fontId="18" fillId="0" borderId="16" xfId="0" applyNumberFormat="1" applyFont="1" applyFill="1" applyBorder="1" applyAlignment="1">
      <alignment horizontal="center" vertical="center" wrapText="1"/>
    </xf>
    <xf numFmtId="49" fontId="29" fillId="0" borderId="16" xfId="0" applyNumberFormat="1" applyFont="1" applyFill="1" applyBorder="1" applyAlignment="1">
      <alignment horizontal="center" vertical="center" wrapText="1"/>
    </xf>
    <xf numFmtId="2" fontId="18" fillId="0" borderId="18" xfId="0" applyNumberFormat="1" applyFont="1" applyFill="1" applyBorder="1" applyAlignment="1">
      <alignment horizontal="center" vertical="center"/>
    </xf>
    <xf numFmtId="2" fontId="18" fillId="0" borderId="22" xfId="0" applyNumberFormat="1" applyFont="1" applyFill="1" applyBorder="1" applyAlignment="1">
      <alignment horizontal="center" vertical="center"/>
    </xf>
    <xf numFmtId="0" fontId="18" fillId="0" borderId="0" xfId="0" applyFont="1" applyFill="1" applyBorder="1" applyAlignment="1">
      <alignment/>
    </xf>
    <xf numFmtId="0" fontId="18" fillId="0" borderId="20" xfId="0" applyNumberFormat="1" applyFont="1" applyFill="1" applyBorder="1" applyAlignment="1">
      <alignment horizontal="center" vertical="top" wrapText="1"/>
    </xf>
    <xf numFmtId="0" fontId="18" fillId="0" borderId="10" xfId="0" applyFont="1" applyFill="1" applyBorder="1" applyAlignment="1">
      <alignment horizontal="center" vertical="center"/>
    </xf>
    <xf numFmtId="2" fontId="18" fillId="0" borderId="10" xfId="0" applyNumberFormat="1" applyFont="1" applyFill="1" applyBorder="1" applyAlignment="1">
      <alignment horizontal="center" vertical="center"/>
    </xf>
    <xf numFmtId="0" fontId="18" fillId="0" borderId="10" xfId="54" applyNumberFormat="1" applyFont="1" applyFill="1" applyBorder="1" applyAlignment="1">
      <alignment horizontal="center" vertical="center" wrapText="1"/>
      <protection/>
    </xf>
    <xf numFmtId="0" fontId="18" fillId="0" borderId="0" xfId="0" applyFont="1" applyFill="1" applyAlignment="1">
      <alignment/>
    </xf>
    <xf numFmtId="2" fontId="18" fillId="0" borderId="21" xfId="0" applyNumberFormat="1" applyFont="1" applyFill="1" applyBorder="1" applyAlignment="1">
      <alignment horizontal="center" vertical="center"/>
    </xf>
    <xf numFmtId="0" fontId="18" fillId="0" borderId="17" xfId="0" applyNumberFormat="1" applyFont="1" applyFill="1" applyBorder="1" applyAlignment="1">
      <alignment horizontal="center" vertical="center" wrapText="1"/>
    </xf>
    <xf numFmtId="0" fontId="18" fillId="0" borderId="18" xfId="54" applyNumberFormat="1" applyFont="1" applyFill="1" applyBorder="1" applyAlignment="1">
      <alignment horizontal="center" vertical="center" wrapText="1"/>
      <protection/>
    </xf>
    <xf numFmtId="0" fontId="18" fillId="0" borderId="23" xfId="0" applyNumberFormat="1" applyFont="1" applyFill="1" applyBorder="1" applyAlignment="1">
      <alignment horizontal="center" vertical="center" wrapText="1"/>
    </xf>
    <xf numFmtId="0" fontId="18" fillId="0" borderId="22" xfId="54" applyNumberFormat="1" applyFont="1" applyFill="1" applyBorder="1" applyAlignment="1">
      <alignment horizontal="center" vertical="center" wrapText="1"/>
      <protection/>
    </xf>
    <xf numFmtId="2" fontId="18" fillId="0" borderId="10" xfId="0" applyNumberFormat="1" applyFont="1" applyFill="1" applyBorder="1" applyAlignment="1">
      <alignment vertical="center"/>
    </xf>
    <xf numFmtId="0" fontId="18" fillId="0" borderId="16" xfId="54" applyNumberFormat="1" applyFont="1" applyFill="1" applyBorder="1" applyAlignment="1">
      <alignment horizontal="center" vertical="center" wrapText="1"/>
      <protection/>
    </xf>
    <xf numFmtId="0" fontId="18" fillId="0" borderId="10" xfId="54" applyNumberFormat="1" applyFont="1" applyFill="1" applyBorder="1" applyAlignment="1">
      <alignment horizontal="center" vertical="center" wrapText="1"/>
      <protection/>
    </xf>
    <xf numFmtId="0" fontId="18" fillId="0" borderId="27" xfId="0" applyFont="1" applyFill="1" applyBorder="1" applyAlignment="1">
      <alignment horizontal="center" vertical="top"/>
    </xf>
    <xf numFmtId="49" fontId="29" fillId="0" borderId="10" xfId="0" applyNumberFormat="1" applyFont="1" applyFill="1" applyBorder="1" applyAlignment="1">
      <alignment horizontal="center" vertical="center" wrapText="1"/>
    </xf>
    <xf numFmtId="0" fontId="18" fillId="0" borderId="27" xfId="0" applyFont="1" applyFill="1" applyBorder="1" applyAlignment="1">
      <alignment horizontal="center" vertical="center"/>
    </xf>
    <xf numFmtId="2" fontId="18" fillId="0" borderId="18" xfId="0" applyNumberFormat="1" applyFont="1" applyFill="1" applyBorder="1" applyAlignment="1">
      <alignment horizontal="center" vertical="center" wrapText="1"/>
    </xf>
    <xf numFmtId="2" fontId="18" fillId="0" borderId="15" xfId="0" applyNumberFormat="1" applyFont="1" applyFill="1" applyBorder="1" applyAlignment="1">
      <alignment horizontal="center" vertical="center"/>
    </xf>
    <xf numFmtId="0" fontId="18" fillId="0" borderId="30"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18" fillId="0" borderId="21" xfId="54" applyNumberFormat="1" applyFont="1" applyFill="1" applyBorder="1" applyAlignment="1">
      <alignment horizontal="center" vertical="center" wrapText="1"/>
      <protection/>
    </xf>
    <xf numFmtId="0" fontId="18" fillId="0" borderId="41" xfId="0" applyFont="1" applyFill="1" applyBorder="1" applyAlignment="1">
      <alignment horizontal="center" vertical="center" wrapText="1"/>
    </xf>
    <xf numFmtId="49" fontId="18" fillId="0" borderId="27" xfId="0" applyNumberFormat="1" applyFont="1" applyFill="1" applyBorder="1" applyAlignment="1">
      <alignment horizontal="center" vertical="center" wrapText="1"/>
    </xf>
    <xf numFmtId="0" fontId="18" fillId="0" borderId="27" xfId="0" applyFont="1" applyFill="1" applyBorder="1" applyAlignment="1">
      <alignment horizontal="center" vertical="center"/>
    </xf>
    <xf numFmtId="0" fontId="18" fillId="0" borderId="17" xfId="0" applyFont="1" applyFill="1" applyBorder="1" applyAlignment="1">
      <alignment horizontal="center" vertical="center"/>
    </xf>
    <xf numFmtId="0" fontId="29" fillId="0" borderId="18" xfId="0" applyFont="1" applyFill="1" applyBorder="1" applyAlignment="1">
      <alignment vertical="center"/>
    </xf>
    <xf numFmtId="0" fontId="18" fillId="0" borderId="21" xfId="54" applyNumberFormat="1" applyFont="1" applyFill="1" applyBorder="1" applyAlignment="1">
      <alignment horizontal="center" vertical="center" wrapText="1"/>
      <protection/>
    </xf>
    <xf numFmtId="0" fontId="18" fillId="0" borderId="21" xfId="0" applyFont="1" applyFill="1" applyBorder="1" applyAlignment="1">
      <alignment horizontal="center" vertical="center" wrapText="1"/>
    </xf>
    <xf numFmtId="0" fontId="29" fillId="0" borderId="27"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19" xfId="0" applyFont="1" applyFill="1" applyBorder="1" applyAlignment="1">
      <alignment horizontal="center" vertical="center"/>
    </xf>
    <xf numFmtId="0" fontId="29" fillId="0" borderId="24" xfId="0" applyFont="1" applyFill="1" applyBorder="1" applyAlignment="1">
      <alignment horizontal="center" vertical="center"/>
    </xf>
    <xf numFmtId="0" fontId="29" fillId="0" borderId="25" xfId="0" applyFont="1" applyFill="1" applyBorder="1" applyAlignment="1">
      <alignment horizontal="center" vertical="center"/>
    </xf>
    <xf numFmtId="0" fontId="18" fillId="0" borderId="33" xfId="0" applyFont="1" applyFill="1" applyBorder="1" applyAlignment="1">
      <alignment horizontal="center" vertical="center"/>
    </xf>
    <xf numFmtId="49" fontId="29" fillId="0" borderId="32" xfId="0" applyNumberFormat="1" applyFont="1" applyFill="1" applyBorder="1" applyAlignment="1">
      <alignment horizontal="center" vertical="center" wrapText="1"/>
    </xf>
    <xf numFmtId="0" fontId="18" fillId="0" borderId="32" xfId="0" applyNumberFormat="1" applyFont="1" applyFill="1" applyBorder="1" applyAlignment="1">
      <alignment horizontal="center" vertical="center" wrapText="1"/>
    </xf>
    <xf numFmtId="2" fontId="18" fillId="0" borderId="32" xfId="0" applyNumberFormat="1" applyFont="1" applyFill="1" applyBorder="1" applyAlignment="1">
      <alignment horizontal="center" vertical="center"/>
    </xf>
    <xf numFmtId="0" fontId="18" fillId="0" borderId="44" xfId="0" applyNumberFormat="1" applyFont="1" applyFill="1" applyBorder="1" applyAlignment="1">
      <alignment horizontal="center" vertical="center" wrapText="1"/>
    </xf>
    <xf numFmtId="49" fontId="18" fillId="0" borderId="0" xfId="0" applyNumberFormat="1" applyFont="1" applyFill="1" applyBorder="1" applyAlignment="1">
      <alignment horizontal="center" vertical="center" wrapText="1"/>
    </xf>
    <xf numFmtId="49" fontId="19" fillId="0" borderId="0" xfId="0" applyNumberFormat="1" applyFont="1" applyFill="1" applyBorder="1" applyAlignment="1">
      <alignment horizontal="center" vertical="center" wrapText="1"/>
    </xf>
    <xf numFmtId="49" fontId="20" fillId="0" borderId="0" xfId="0" applyNumberFormat="1" applyFont="1" applyFill="1" applyBorder="1" applyAlignment="1">
      <alignment horizontal="center" vertical="center" wrapText="1"/>
    </xf>
    <xf numFmtId="164" fontId="18" fillId="0" borderId="0" xfId="0" applyNumberFormat="1" applyFont="1" applyFill="1" applyBorder="1" applyAlignment="1">
      <alignment horizontal="center" vertical="center" wrapText="1"/>
    </xf>
    <xf numFmtId="49" fontId="18" fillId="0" borderId="0" xfId="0" applyNumberFormat="1" applyFont="1" applyFill="1" applyBorder="1" applyAlignment="1">
      <alignment horizontal="left" vertical="center" wrapText="1"/>
    </xf>
    <xf numFmtId="0" fontId="21" fillId="0" borderId="0" xfId="0" applyFont="1" applyFill="1" applyAlignment="1">
      <alignment horizontal="center" vertical="center"/>
    </xf>
    <xf numFmtId="164" fontId="18" fillId="0" borderId="0" xfId="0" applyNumberFormat="1" applyFont="1" applyFill="1" applyBorder="1" applyAlignment="1">
      <alignment vertical="center" wrapText="1"/>
    </xf>
    <xf numFmtId="49" fontId="18" fillId="0" borderId="0" xfId="0" applyNumberFormat="1" applyFont="1" applyFill="1" applyBorder="1" applyAlignment="1">
      <alignment horizontal="left" vertical="center" wrapText="1" shrinkToFit="1"/>
    </xf>
    <xf numFmtId="49" fontId="29" fillId="0" borderId="19" xfId="0" applyNumberFormat="1" applyFont="1" applyFill="1" applyBorder="1" applyAlignment="1">
      <alignment horizontal="center" vertical="center" wrapText="1"/>
    </xf>
    <xf numFmtId="49" fontId="29" fillId="0" borderId="24" xfId="0" applyNumberFormat="1" applyFont="1" applyFill="1" applyBorder="1" applyAlignment="1">
      <alignment horizontal="center" vertical="center" wrapText="1"/>
    </xf>
    <xf numFmtId="49" fontId="29" fillId="0" borderId="25" xfId="0" applyNumberFormat="1" applyFont="1" applyFill="1" applyBorder="1" applyAlignment="1">
      <alignment horizontal="center" vertical="center" wrapText="1"/>
    </xf>
    <xf numFmtId="164" fontId="18" fillId="0" borderId="22" xfId="0" applyNumberFormat="1" applyFont="1" applyFill="1" applyBorder="1" applyAlignment="1">
      <alignment horizontal="center" vertical="center" wrapText="1"/>
    </xf>
    <xf numFmtId="0" fontId="29" fillId="0" borderId="17" xfId="0" applyNumberFormat="1" applyFont="1" applyFill="1" applyBorder="1" applyAlignment="1">
      <alignment horizontal="center" vertical="center" wrapText="1"/>
    </xf>
    <xf numFmtId="0" fontId="29" fillId="0" borderId="20" xfId="0" applyNumberFormat="1" applyFont="1" applyFill="1" applyBorder="1" applyAlignment="1">
      <alignment horizontal="center" vertical="center" wrapText="1"/>
    </xf>
    <xf numFmtId="164" fontId="18" fillId="0" borderId="21" xfId="0" applyNumberFormat="1" applyFont="1" applyFill="1" applyBorder="1" applyAlignment="1">
      <alignment horizontal="center" vertical="center" wrapText="1"/>
    </xf>
    <xf numFmtId="164" fontId="18" fillId="0" borderId="18" xfId="0" applyNumberFormat="1" applyFont="1" applyFill="1" applyBorder="1" applyAlignment="1">
      <alignment horizontal="center" vertical="center" wrapText="1"/>
    </xf>
    <xf numFmtId="0" fontId="29" fillId="0" borderId="23" xfId="0" applyNumberFormat="1" applyFont="1" applyFill="1" applyBorder="1" applyAlignment="1">
      <alignment horizontal="center" vertical="center" wrapText="1"/>
    </xf>
    <xf numFmtId="0" fontId="29" fillId="0" borderId="27" xfId="0" applyNumberFormat="1" applyFont="1" applyFill="1" applyBorder="1" applyAlignment="1">
      <alignment horizontal="center" vertical="center" wrapText="1"/>
    </xf>
    <xf numFmtId="49" fontId="18" fillId="0" borderId="28" xfId="0" applyNumberFormat="1" applyFont="1" applyFill="1" applyBorder="1" applyAlignment="1">
      <alignment horizontal="center" vertical="center" wrapText="1"/>
    </xf>
    <xf numFmtId="49" fontId="18" fillId="0" borderId="42" xfId="0" applyNumberFormat="1" applyFont="1" applyFill="1" applyBorder="1" applyAlignment="1">
      <alignment horizontal="center" vertical="center" wrapText="1"/>
    </xf>
    <xf numFmtId="49" fontId="18" fillId="0" borderId="29" xfId="0" applyNumberFormat="1" applyFont="1" applyFill="1" applyBorder="1" applyAlignment="1">
      <alignment horizontal="center" vertical="center" wrapText="1"/>
    </xf>
    <xf numFmtId="49" fontId="18" fillId="0" borderId="30" xfId="0" applyNumberFormat="1" applyFont="1" applyFill="1" applyBorder="1" applyAlignment="1">
      <alignment horizontal="center" vertical="center" wrapText="1"/>
    </xf>
    <xf numFmtId="49" fontId="18" fillId="0" borderId="31" xfId="0" applyNumberFormat="1" applyFont="1" applyFill="1" applyBorder="1" applyAlignment="1">
      <alignment horizontal="center" vertical="center" wrapText="1"/>
    </xf>
    <xf numFmtId="49" fontId="18" fillId="0" borderId="19" xfId="0" applyNumberFormat="1" applyFont="1" applyFill="1" applyBorder="1" applyAlignment="1">
      <alignment horizontal="center" vertical="center" wrapText="1"/>
    </xf>
    <xf numFmtId="2" fontId="18" fillId="0" borderId="22" xfId="0" applyNumberFormat="1" applyFont="1" applyFill="1" applyBorder="1" applyAlignment="1">
      <alignment horizontal="center" vertical="center" wrapText="1"/>
    </xf>
    <xf numFmtId="0" fontId="29" fillId="0" borderId="10" xfId="0" applyNumberFormat="1" applyFont="1" applyFill="1" applyBorder="1" applyAlignment="1">
      <alignment horizontal="center" vertical="center" wrapText="1"/>
    </xf>
    <xf numFmtId="0" fontId="29" fillId="0" borderId="16" xfId="0" applyNumberFormat="1" applyFont="1" applyFill="1" applyBorder="1" applyAlignment="1">
      <alignment horizontal="center" vertical="center" wrapText="1"/>
    </xf>
    <xf numFmtId="0" fontId="29" fillId="0" borderId="18" xfId="0" applyNumberFormat="1" applyFont="1" applyFill="1" applyBorder="1" applyAlignment="1">
      <alignment horizontal="center" vertical="center" wrapText="1"/>
    </xf>
    <xf numFmtId="0" fontId="29" fillId="0" borderId="21" xfId="0" applyNumberFormat="1" applyFont="1" applyFill="1" applyBorder="1" applyAlignment="1">
      <alignment horizontal="center" vertical="center" wrapText="1"/>
    </xf>
    <xf numFmtId="0" fontId="29" fillId="0" borderId="22" xfId="0" applyNumberFormat="1" applyFont="1" applyFill="1" applyBorder="1" applyAlignment="1">
      <alignment horizontal="center" vertical="center" wrapText="1"/>
    </xf>
    <xf numFmtId="49" fontId="29" fillId="0" borderId="18" xfId="0" applyNumberFormat="1" applyFont="1" applyFill="1" applyBorder="1" applyAlignment="1">
      <alignment horizontal="center" vertical="center" wrapText="1"/>
    </xf>
    <xf numFmtId="0" fontId="29" fillId="0" borderId="19" xfId="0" applyNumberFormat="1" applyFont="1" applyFill="1" applyBorder="1" applyAlignment="1">
      <alignment horizontal="center" vertical="center" wrapText="1"/>
    </xf>
    <xf numFmtId="0" fontId="29" fillId="0" borderId="24" xfId="0" applyNumberFormat="1" applyFont="1" applyFill="1" applyBorder="1" applyAlignment="1">
      <alignment horizontal="center" vertical="center" wrapText="1"/>
    </xf>
    <xf numFmtId="0" fontId="29" fillId="0" borderId="15" xfId="0" applyNumberFormat="1" applyFont="1" applyFill="1" applyBorder="1" applyAlignment="1">
      <alignment horizontal="center" vertical="center" wrapText="1"/>
    </xf>
    <xf numFmtId="2" fontId="18" fillId="0" borderId="22" xfId="0" applyNumberFormat="1" applyFont="1" applyFill="1" applyBorder="1" applyAlignment="1">
      <alignment horizontal="center" vertical="center"/>
    </xf>
    <xf numFmtId="2" fontId="18" fillId="0" borderId="19" xfId="0" applyNumberFormat="1" applyFont="1" applyFill="1" applyBorder="1" applyAlignment="1">
      <alignment horizontal="center" vertical="center"/>
    </xf>
    <xf numFmtId="2" fontId="18" fillId="0" borderId="15" xfId="0" applyNumberFormat="1" applyFont="1" applyFill="1" applyBorder="1" applyAlignment="1">
      <alignment horizontal="center" vertical="center"/>
    </xf>
    <xf numFmtId="0" fontId="29" fillId="0" borderId="20" xfId="0" applyFont="1" applyFill="1" applyBorder="1" applyAlignment="1">
      <alignment horizontal="center" vertical="center"/>
    </xf>
    <xf numFmtId="2" fontId="18" fillId="0" borderId="18" xfId="0" applyNumberFormat="1" applyFont="1" applyFill="1" applyBorder="1" applyAlignment="1">
      <alignment horizontal="center" vertical="center"/>
    </xf>
    <xf numFmtId="0" fontId="18" fillId="0" borderId="28" xfId="54" applyNumberFormat="1" applyFont="1" applyFill="1" applyBorder="1" applyAlignment="1">
      <alignment horizontal="center" vertical="center" wrapText="1"/>
      <protection/>
    </xf>
    <xf numFmtId="0" fontId="29" fillId="0" borderId="23" xfId="0" applyFont="1" applyFill="1" applyBorder="1" applyAlignment="1">
      <alignment horizontal="center" vertical="center"/>
    </xf>
    <xf numFmtId="0" fontId="29" fillId="0" borderId="17" xfId="0" applyFont="1" applyFill="1" applyBorder="1" applyAlignment="1">
      <alignment horizontal="center" vertical="center"/>
    </xf>
    <xf numFmtId="166" fontId="18" fillId="0" borderId="18" xfId="0" applyNumberFormat="1" applyFont="1" applyFill="1" applyBorder="1" applyAlignment="1">
      <alignment horizontal="center" vertical="center" wrapText="1"/>
    </xf>
    <xf numFmtId="166" fontId="18" fillId="0" borderId="18" xfId="0" applyNumberFormat="1" applyFont="1" applyFill="1" applyBorder="1" applyAlignment="1">
      <alignment horizontal="center" vertical="center"/>
    </xf>
    <xf numFmtId="166" fontId="18" fillId="0" borderId="22" xfId="0" applyNumberFormat="1" applyFont="1" applyFill="1" applyBorder="1" applyAlignment="1">
      <alignment horizontal="center" vertical="center" wrapText="1"/>
    </xf>
    <xf numFmtId="166" fontId="18" fillId="0" borderId="22" xfId="0" applyNumberFormat="1" applyFont="1" applyFill="1" applyBorder="1" applyAlignment="1">
      <alignment horizontal="center" vertical="center"/>
    </xf>
    <xf numFmtId="0" fontId="29" fillId="0" borderId="23" xfId="0" applyFont="1" applyFill="1" applyBorder="1" applyAlignment="1">
      <alignment horizontal="center" vertical="center"/>
    </xf>
    <xf numFmtId="49" fontId="29" fillId="0" borderId="22" xfId="0" applyNumberFormat="1" applyFont="1" applyFill="1" applyBorder="1" applyAlignment="1">
      <alignment horizontal="center" vertical="center" wrapText="1"/>
    </xf>
    <xf numFmtId="0" fontId="18" fillId="0" borderId="18" xfId="54" applyNumberFormat="1" applyFont="1" applyFill="1" applyBorder="1" applyAlignment="1">
      <alignment horizontal="center" vertical="center" wrapText="1"/>
      <protection/>
    </xf>
    <xf numFmtId="49" fontId="29" fillId="0" borderId="45" xfId="0" applyNumberFormat="1" applyFont="1" applyFill="1" applyBorder="1" applyAlignment="1">
      <alignment horizontal="center" vertical="center" wrapText="1"/>
    </xf>
    <xf numFmtId="49" fontId="29" fillId="0" borderId="31" xfId="0" applyNumberFormat="1" applyFont="1" applyFill="1" applyBorder="1" applyAlignment="1">
      <alignment horizontal="center" vertical="center" wrapText="1"/>
    </xf>
    <xf numFmtId="2" fontId="18" fillId="0" borderId="30" xfId="0" applyNumberFormat="1" applyFont="1" applyFill="1" applyBorder="1" applyAlignment="1">
      <alignment horizontal="center" vertical="center" wrapText="1"/>
    </xf>
    <xf numFmtId="2" fontId="18" fillId="0" borderId="31" xfId="0" applyNumberFormat="1" applyFont="1" applyFill="1" applyBorder="1" applyAlignment="1">
      <alignment horizontal="center" vertical="center" wrapText="1"/>
    </xf>
    <xf numFmtId="0" fontId="29" fillId="0" borderId="28" xfId="0" applyFont="1" applyFill="1" applyBorder="1" applyAlignment="1">
      <alignment horizontal="center" wrapText="1"/>
    </xf>
    <xf numFmtId="2" fontId="18" fillId="0" borderId="41" xfId="0" applyNumberFormat="1" applyFont="1" applyFill="1" applyBorder="1" applyAlignment="1">
      <alignment horizontal="center" vertical="center" wrapText="1"/>
    </xf>
    <xf numFmtId="2" fontId="18" fillId="0" borderId="26" xfId="0" applyNumberFormat="1" applyFont="1" applyFill="1" applyBorder="1" applyAlignment="1">
      <alignment horizontal="center" vertical="center" wrapText="1"/>
    </xf>
    <xf numFmtId="0" fontId="29" fillId="0" borderId="29" xfId="0" applyFont="1" applyFill="1" applyBorder="1" applyAlignment="1">
      <alignment horizontal="center" wrapText="1"/>
    </xf>
    <xf numFmtId="49" fontId="29" fillId="0" borderId="23" xfId="0" applyNumberFormat="1" applyFont="1" applyFill="1" applyBorder="1" applyAlignment="1">
      <alignment horizontal="center" vertical="center" wrapText="1"/>
    </xf>
    <xf numFmtId="2" fontId="18" fillId="0" borderId="19" xfId="0" applyNumberFormat="1" applyFont="1" applyFill="1" applyBorder="1" applyAlignment="1">
      <alignment horizontal="center" vertical="center" wrapText="1"/>
    </xf>
    <xf numFmtId="2" fontId="18" fillId="0" borderId="15" xfId="0" applyNumberFormat="1" applyFont="1" applyFill="1" applyBorder="1" applyAlignment="1">
      <alignment horizontal="center" vertical="center" wrapText="1"/>
    </xf>
    <xf numFmtId="0" fontId="29" fillId="0" borderId="27" xfId="0" applyFont="1" applyFill="1" applyBorder="1" applyAlignment="1">
      <alignment horizontal="center" vertical="center"/>
    </xf>
    <xf numFmtId="0" fontId="29" fillId="0" borderId="17" xfId="0" applyFont="1" applyFill="1" applyBorder="1" applyAlignment="1">
      <alignment vertical="center"/>
    </xf>
    <xf numFmtId="49" fontId="29" fillId="0" borderId="18" xfId="0" applyNumberFormat="1" applyFont="1" applyFill="1" applyBorder="1" applyAlignment="1">
      <alignment vertical="center" wrapText="1"/>
    </xf>
    <xf numFmtId="0" fontId="18" fillId="0" borderId="22" xfId="0" applyFont="1" applyFill="1" applyBorder="1" applyAlignment="1">
      <alignment vertical="center" wrapText="1"/>
    </xf>
    <xf numFmtId="166" fontId="18" fillId="0" borderId="15" xfId="0" applyNumberFormat="1" applyFont="1" applyFill="1" applyBorder="1" applyAlignment="1">
      <alignment horizontal="center" vertical="center" wrapText="1"/>
    </xf>
    <xf numFmtId="0" fontId="29" fillId="0" borderId="33" xfId="0" applyFont="1" applyFill="1" applyBorder="1" applyAlignment="1">
      <alignment horizontal="center" vertical="center"/>
    </xf>
    <xf numFmtId="2" fontId="18" fillId="0" borderId="46" xfId="0" applyNumberFormat="1" applyFont="1" applyFill="1" applyBorder="1" applyAlignment="1">
      <alignment horizontal="center" vertical="center" wrapText="1"/>
    </xf>
    <xf numFmtId="49" fontId="18" fillId="0" borderId="17" xfId="0" applyNumberFormat="1" applyFont="1" applyFill="1" applyBorder="1" applyAlignment="1">
      <alignment horizontal="center" vertical="center" wrapText="1"/>
    </xf>
    <xf numFmtId="49" fontId="18" fillId="0" borderId="20" xfId="0" applyNumberFormat="1" applyFont="1" applyFill="1" applyBorder="1" applyAlignment="1">
      <alignment horizontal="center" vertical="center" wrapText="1"/>
    </xf>
    <xf numFmtId="49" fontId="18" fillId="0" borderId="23" xfId="0" applyNumberFormat="1" applyFont="1" applyFill="1" applyBorder="1" applyAlignment="1">
      <alignment horizontal="center" vertical="center" wrapText="1"/>
    </xf>
    <xf numFmtId="164" fontId="18" fillId="0" borderId="19" xfId="0" applyNumberFormat="1" applyFont="1" applyFill="1" applyBorder="1" applyAlignment="1">
      <alignment horizontal="center" vertical="center" wrapText="1"/>
    </xf>
    <xf numFmtId="164" fontId="18" fillId="0" borderId="15" xfId="0" applyNumberFormat="1" applyFont="1" applyFill="1" applyBorder="1" applyAlignment="1">
      <alignment horizontal="center" vertical="center" wrapText="1"/>
    </xf>
    <xf numFmtId="166" fontId="18" fillId="0" borderId="21" xfId="0" applyNumberFormat="1" applyFont="1" applyFill="1" applyBorder="1" applyAlignment="1">
      <alignment horizontal="center" vertical="center" wrapText="1"/>
    </xf>
    <xf numFmtId="166" fontId="18" fillId="0" borderId="18" xfId="0" applyNumberFormat="1" applyFont="1" applyFill="1" applyBorder="1" applyAlignment="1">
      <alignment horizontal="center" vertical="center" wrapText="1"/>
    </xf>
    <xf numFmtId="0" fontId="18" fillId="0" borderId="16" xfId="0" applyNumberFormat="1" applyFont="1" applyFill="1" applyBorder="1" applyAlignment="1">
      <alignment horizontal="center" vertical="center" wrapText="1"/>
    </xf>
    <xf numFmtId="0" fontId="18" fillId="0" borderId="15" xfId="0" applyNumberFormat="1" applyFont="1" applyFill="1" applyBorder="1" applyAlignment="1">
      <alignment horizontal="center" vertical="center" wrapText="1"/>
    </xf>
    <xf numFmtId="0" fontId="18" fillId="0" borderId="28" xfId="0" applyNumberFormat="1" applyFont="1" applyFill="1" applyBorder="1" applyAlignment="1">
      <alignment horizontal="center" vertical="center" wrapText="1"/>
    </xf>
    <xf numFmtId="49" fontId="29" fillId="0" borderId="21" xfId="0" applyNumberFormat="1" applyFont="1" applyFill="1" applyBorder="1" applyAlignment="1">
      <alignment vertical="center" wrapText="1"/>
    </xf>
    <xf numFmtId="0" fontId="18" fillId="0" borderId="0" xfId="0" applyFont="1" applyFill="1" applyBorder="1" applyAlignment="1">
      <alignment horizontal="center" vertical="center"/>
    </xf>
    <xf numFmtId="0" fontId="18" fillId="0" borderId="31" xfId="0" applyNumberFormat="1" applyFont="1" applyFill="1" applyBorder="1" applyAlignment="1">
      <alignment horizontal="center" vertical="center" wrapText="1"/>
    </xf>
    <xf numFmtId="0" fontId="18" fillId="0" borderId="26" xfId="0" applyNumberFormat="1" applyFont="1" applyFill="1" applyBorder="1" applyAlignment="1">
      <alignment horizontal="center" vertical="center" wrapText="1"/>
    </xf>
    <xf numFmtId="0" fontId="18" fillId="0" borderId="29" xfId="0" applyNumberFormat="1" applyFont="1" applyFill="1" applyBorder="1" applyAlignment="1">
      <alignment horizontal="center" vertical="center" wrapText="1"/>
    </xf>
    <xf numFmtId="0" fontId="18" fillId="0" borderId="22" xfId="54" applyNumberFormat="1" applyFont="1" applyFill="1" applyBorder="1" applyAlignment="1">
      <alignment horizontal="center" vertical="center" wrapText="1"/>
      <protection/>
    </xf>
    <xf numFmtId="0" fontId="29" fillId="0" borderId="10" xfId="54" applyNumberFormat="1" applyFont="1" applyFill="1" applyBorder="1" applyAlignment="1">
      <alignment horizontal="center" vertical="center" wrapText="1"/>
      <protection/>
    </xf>
    <xf numFmtId="0" fontId="29" fillId="0" borderId="19" xfId="54" applyNumberFormat="1" applyFont="1" applyFill="1" applyBorder="1" applyAlignment="1">
      <alignment horizontal="center" vertical="center" wrapText="1"/>
      <protection/>
    </xf>
    <xf numFmtId="0" fontId="29" fillId="0" borderId="24" xfId="54" applyNumberFormat="1" applyFont="1" applyFill="1" applyBorder="1" applyAlignment="1">
      <alignment horizontal="center" vertical="center" wrapText="1"/>
      <protection/>
    </xf>
    <xf numFmtId="0" fontId="29" fillId="0" borderId="15" xfId="54" applyNumberFormat="1" applyFont="1" applyFill="1" applyBorder="1" applyAlignment="1">
      <alignment horizontal="center" vertical="center" wrapText="1"/>
      <protection/>
    </xf>
    <xf numFmtId="0" fontId="18" fillId="0" borderId="31" xfId="54" applyNumberFormat="1" applyFont="1" applyFill="1" applyBorder="1" applyAlignment="1">
      <alignment horizontal="center" vertical="center" wrapText="1"/>
      <protection/>
    </xf>
    <xf numFmtId="0" fontId="18" fillId="0" borderId="47" xfId="54" applyNumberFormat="1" applyFont="1" applyFill="1" applyBorder="1" applyAlignment="1">
      <alignment horizontal="center" vertical="center" wrapText="1"/>
      <protection/>
    </xf>
    <xf numFmtId="0" fontId="18" fillId="0" borderId="20" xfId="0" applyFont="1" applyFill="1" applyBorder="1" applyAlignment="1">
      <alignment horizontal="center" vertical="top"/>
    </xf>
    <xf numFmtId="0" fontId="18" fillId="0" borderId="28" xfId="0" applyFont="1" applyFill="1" applyBorder="1" applyAlignment="1">
      <alignment horizontal="center" vertical="center" wrapText="1"/>
    </xf>
    <xf numFmtId="49" fontId="18" fillId="0" borderId="23" xfId="0" applyNumberFormat="1" applyFont="1" applyFill="1" applyBorder="1" applyAlignment="1">
      <alignment horizontal="center" vertical="center" wrapText="1"/>
    </xf>
    <xf numFmtId="0" fontId="18" fillId="0" borderId="23" xfId="0" applyFont="1" applyFill="1" applyBorder="1" applyAlignment="1">
      <alignment horizontal="center" vertical="center"/>
    </xf>
    <xf numFmtId="164" fontId="18" fillId="0" borderId="0" xfId="0" applyNumberFormat="1" applyFont="1" applyFill="1" applyBorder="1" applyAlignment="1">
      <alignment horizontal="left" vertical="center"/>
    </xf>
    <xf numFmtId="4" fontId="18" fillId="0" borderId="0" xfId="0" applyNumberFormat="1" applyFont="1" applyFill="1" applyBorder="1" applyAlignment="1">
      <alignment horizontal="left" vertical="center" shrinkToFit="1"/>
    </xf>
    <xf numFmtId="49" fontId="24" fillId="0" borderId="0" xfId="0" applyNumberFormat="1" applyFont="1" applyAlignment="1">
      <alignment horizontal="center" vertical="center"/>
    </xf>
    <xf numFmtId="49" fontId="24" fillId="0" borderId="0" xfId="0" applyNumberFormat="1" applyFont="1" applyAlignment="1">
      <alignment horizontal="center"/>
    </xf>
    <xf numFmtId="49" fontId="19" fillId="0" borderId="0" xfId="0" applyNumberFormat="1" applyFont="1" applyAlignment="1">
      <alignment/>
    </xf>
    <xf numFmtId="49" fontId="20" fillId="0" borderId="0" xfId="0" applyNumberFormat="1" applyFont="1" applyAlignment="1">
      <alignment/>
    </xf>
    <xf numFmtId="49" fontId="24" fillId="0" borderId="0" xfId="0" applyNumberFormat="1" applyFont="1" applyAlignment="1">
      <alignment/>
    </xf>
    <xf numFmtId="164" fontId="24" fillId="0" borderId="0" xfId="0" applyNumberFormat="1" applyFont="1" applyAlignment="1">
      <alignment/>
    </xf>
    <xf numFmtId="49" fontId="18" fillId="0" borderId="0" xfId="0" applyNumberFormat="1" applyFont="1" applyAlignment="1">
      <alignment horizontal="left" vertical="center" wrapText="1"/>
    </xf>
    <xf numFmtId="49" fontId="21" fillId="0" borderId="0" xfId="0" applyNumberFormat="1" applyFont="1" applyAlignment="1">
      <alignment/>
    </xf>
    <xf numFmtId="49" fontId="21" fillId="0" borderId="0" xfId="0" applyNumberFormat="1" applyFont="1" applyAlignment="1">
      <alignment/>
    </xf>
    <xf numFmtId="49" fontId="18" fillId="0" borderId="0" xfId="0" applyNumberFormat="1" applyFont="1" applyAlignment="1">
      <alignment horizontal="center" vertical="center" wrapText="1"/>
    </xf>
    <xf numFmtId="49" fontId="19" fillId="0" borderId="0" xfId="0" applyNumberFormat="1" applyFont="1" applyAlignment="1">
      <alignment horizontal="center" vertical="center" wrapText="1"/>
    </xf>
    <xf numFmtId="49" fontId="20" fillId="0" borderId="0" xfId="0" applyNumberFormat="1" applyFont="1" applyAlignment="1">
      <alignment horizontal="center" vertical="center" wrapText="1"/>
    </xf>
    <xf numFmtId="164" fontId="18" fillId="0" borderId="0" xfId="0" applyNumberFormat="1" applyFont="1" applyAlignment="1">
      <alignment horizontal="center" vertical="center" wrapText="1"/>
    </xf>
    <xf numFmtId="49" fontId="18" fillId="0" borderId="0" xfId="0" applyNumberFormat="1" applyFont="1" applyAlignment="1">
      <alignment horizontal="center" vertical="top" wrapText="1"/>
    </xf>
    <xf numFmtId="49" fontId="23" fillId="0" borderId="0" xfId="0" applyNumberFormat="1" applyFont="1" applyAlignment="1">
      <alignment horizontal="center" vertical="top" wrapText="1"/>
    </xf>
    <xf numFmtId="0" fontId="26" fillId="0" borderId="0" xfId="0" applyFont="1" applyFill="1" applyBorder="1" applyAlignment="1">
      <alignment horizontal="center" vertical="center" wrapText="1"/>
    </xf>
    <xf numFmtId="49" fontId="29" fillId="33" borderId="10" xfId="0" applyNumberFormat="1" applyFont="1" applyFill="1" applyBorder="1" applyAlignment="1">
      <alignment horizontal="center" vertical="center" wrapText="1"/>
    </xf>
    <xf numFmtId="49" fontId="18" fillId="0" borderId="0" xfId="0" applyNumberFormat="1" applyFont="1" applyBorder="1" applyAlignment="1">
      <alignment horizontal="center" vertical="center" wrapText="1"/>
    </xf>
    <xf numFmtId="0" fontId="18" fillId="0" borderId="0" xfId="0" applyFont="1" applyFill="1" applyBorder="1" applyAlignment="1">
      <alignment vertical="center"/>
    </xf>
    <xf numFmtId="49" fontId="18" fillId="33" borderId="22" xfId="0" applyNumberFormat="1" applyFont="1" applyFill="1" applyBorder="1" applyAlignment="1">
      <alignment horizontal="center" vertical="center" wrapText="1"/>
    </xf>
    <xf numFmtId="168" fontId="18" fillId="0" borderId="10" xfId="0" applyNumberFormat="1" applyFont="1" applyFill="1" applyBorder="1" applyAlignment="1">
      <alignment horizontal="center" vertical="center" wrapText="1"/>
    </xf>
    <xf numFmtId="49" fontId="29" fillId="0" borderId="10" xfId="0" applyNumberFormat="1" applyFont="1" applyFill="1" applyBorder="1" applyAlignment="1">
      <alignment horizontal="center" vertical="top" wrapText="1"/>
    </xf>
    <xf numFmtId="49" fontId="19" fillId="0" borderId="0" xfId="0" applyNumberFormat="1" applyFont="1" applyBorder="1" applyAlignment="1">
      <alignment horizontal="center" vertical="center" wrapText="1"/>
    </xf>
    <xf numFmtId="49" fontId="20" fillId="0" borderId="0" xfId="0" applyNumberFormat="1" applyFont="1" applyBorder="1" applyAlignment="1">
      <alignment horizontal="center" vertical="center" wrapText="1"/>
    </xf>
    <xf numFmtId="164" fontId="18" fillId="0" borderId="0" xfId="0" applyNumberFormat="1" applyFont="1" applyBorder="1" applyAlignment="1">
      <alignment horizontal="center" vertical="center" wrapText="1"/>
    </xf>
    <xf numFmtId="49" fontId="18" fillId="0" borderId="0" xfId="0" applyNumberFormat="1" applyFont="1" applyBorder="1" applyAlignment="1">
      <alignment horizontal="left" vertical="center" wrapText="1"/>
    </xf>
    <xf numFmtId="49" fontId="18" fillId="0" borderId="0" xfId="0" applyNumberFormat="1" applyFont="1" applyFill="1" applyBorder="1" applyAlignment="1">
      <alignment vertical="center" wrapText="1"/>
    </xf>
    <xf numFmtId="0" fontId="44" fillId="0" borderId="0" xfId="53" applyFont="1" applyFill="1" applyAlignment="1">
      <alignment horizontal="center" vertical="center" wrapText="1"/>
      <protection/>
    </xf>
    <xf numFmtId="166" fontId="44" fillId="0" borderId="0" xfId="53" applyNumberFormat="1" applyFont="1" applyFill="1" applyAlignment="1">
      <alignment horizontal="center" vertical="center" wrapText="1"/>
      <protection/>
    </xf>
    <xf numFmtId="4" fontId="44" fillId="0" borderId="0" xfId="53" applyNumberFormat="1" applyFont="1" applyFill="1" applyAlignment="1">
      <alignment horizontal="center" vertical="center" wrapText="1"/>
      <protection/>
    </xf>
    <xf numFmtId="0" fontId="27" fillId="0" borderId="0" xfId="0" applyFont="1" applyFill="1" applyAlignment="1">
      <alignment horizontal="center" vertical="center"/>
    </xf>
    <xf numFmtId="49" fontId="29" fillId="0" borderId="0" xfId="0" applyNumberFormat="1" applyFont="1" applyFill="1" applyAlignment="1">
      <alignment horizontal="center" vertical="center"/>
    </xf>
    <xf numFmtId="166" fontId="18" fillId="0" borderId="0" xfId="0" applyNumberFormat="1" applyFont="1" applyFill="1" applyAlignment="1">
      <alignment/>
    </xf>
    <xf numFmtId="166" fontId="18" fillId="0" borderId="0" xfId="0" applyNumberFormat="1" applyFont="1" applyFill="1" applyAlignment="1">
      <alignment horizontal="center" vertical="center"/>
    </xf>
    <xf numFmtId="49" fontId="44" fillId="0" borderId="0" xfId="0" applyNumberFormat="1" applyFont="1" applyFill="1" applyAlignment="1">
      <alignment horizontal="center" vertical="center"/>
    </xf>
    <xf numFmtId="0" fontId="44" fillId="0" borderId="0" xfId="0" applyFont="1" applyFill="1" applyAlignment="1">
      <alignment vertical="center"/>
    </xf>
    <xf numFmtId="0" fontId="44" fillId="0" borderId="0" xfId="0" applyFont="1" applyFill="1" applyAlignment="1">
      <alignment vertical="center" wrapText="1"/>
    </xf>
    <xf numFmtId="0" fontId="20" fillId="0" borderId="0" xfId="0" applyFont="1" applyFill="1" applyAlignment="1">
      <alignment vertical="center"/>
    </xf>
    <xf numFmtId="0" fontId="44" fillId="0" borderId="0" xfId="0" applyFont="1" applyFill="1" applyBorder="1" applyAlignment="1">
      <alignment/>
    </xf>
    <xf numFmtId="166" fontId="20" fillId="0" borderId="0" xfId="0" applyNumberFormat="1" applyFont="1" applyFill="1" applyAlignment="1">
      <alignment vertical="center"/>
    </xf>
    <xf numFmtId="166" fontId="44" fillId="0" borderId="0" xfId="0" applyNumberFormat="1" applyFont="1" applyFill="1" applyAlignment="1">
      <alignment horizontal="center" vertical="center"/>
    </xf>
    <xf numFmtId="4" fontId="44" fillId="0" borderId="0" xfId="0" applyNumberFormat="1" applyFont="1" applyFill="1" applyAlignment="1">
      <alignment horizontal="center" vertical="center"/>
    </xf>
    <xf numFmtId="0" fontId="44" fillId="0" borderId="0" xfId="0" applyFont="1" applyFill="1" applyAlignment="1">
      <alignment horizontal="center" vertical="center"/>
    </xf>
    <xf numFmtId="0" fontId="18" fillId="0" borderId="45" xfId="0"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0" fontId="29" fillId="0" borderId="16" xfId="0" applyFont="1" applyFill="1" applyBorder="1" applyAlignment="1">
      <alignment horizontal="center" vertical="center" wrapText="1"/>
    </xf>
    <xf numFmtId="0" fontId="29" fillId="0" borderId="0" xfId="0" applyFont="1" applyFill="1" applyAlignment="1">
      <alignment/>
    </xf>
    <xf numFmtId="0" fontId="18" fillId="0" borderId="36" xfId="52" applyFont="1" applyFill="1" applyBorder="1" applyAlignment="1">
      <alignment horizontal="center" vertical="center" wrapText="1"/>
      <protection/>
    </xf>
    <xf numFmtId="4" fontId="18" fillId="0" borderId="16" xfId="0" applyNumberFormat="1" applyFont="1" applyFill="1" applyBorder="1" applyAlignment="1">
      <alignment horizontal="center" vertical="center" wrapText="1"/>
    </xf>
    <xf numFmtId="4" fontId="18" fillId="0" borderId="28" xfId="0" applyNumberFormat="1" applyFont="1" applyFill="1" applyBorder="1" applyAlignment="1">
      <alignment horizontal="center" vertical="center" wrapText="1"/>
    </xf>
    <xf numFmtId="4" fontId="18" fillId="0" borderId="44" xfId="0" applyNumberFormat="1" applyFont="1" applyFill="1" applyBorder="1" applyAlignment="1">
      <alignment horizontal="center" vertical="center" wrapText="1"/>
    </xf>
    <xf numFmtId="0" fontId="29" fillId="0" borderId="0" xfId="0" applyFont="1" applyFill="1" applyAlignment="1">
      <alignment horizontal="left" vertical="center"/>
    </xf>
    <xf numFmtId="0" fontId="18" fillId="0" borderId="0" xfId="0" applyFont="1" applyFill="1" applyAlignment="1">
      <alignment horizontal="left"/>
    </xf>
    <xf numFmtId="0" fontId="26" fillId="0" borderId="0" xfId="0" applyFont="1" applyFill="1" applyAlignment="1">
      <alignment horizontal="center" vertical="center" wrapText="1"/>
    </xf>
    <xf numFmtId="0" fontId="26" fillId="0" borderId="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48" xfId="0" applyFont="1" applyFill="1" applyBorder="1" applyAlignment="1">
      <alignment horizontal="center" vertical="center" wrapText="1"/>
    </xf>
    <xf numFmtId="0" fontId="29" fillId="0" borderId="49" xfId="0" applyFont="1" applyFill="1" applyBorder="1" applyAlignment="1">
      <alignment horizontal="center" vertical="center" wrapText="1"/>
    </xf>
    <xf numFmtId="0" fontId="29" fillId="0" borderId="50" xfId="0" applyFont="1" applyFill="1" applyBorder="1" applyAlignment="1">
      <alignment horizontal="center" vertical="center" wrapText="1"/>
    </xf>
    <xf numFmtId="0" fontId="29" fillId="0" borderId="10" xfId="0" applyFont="1" applyFill="1" applyBorder="1" applyAlignment="1">
      <alignment horizontal="center" vertical="center"/>
    </xf>
    <xf numFmtId="0" fontId="18" fillId="0" borderId="19" xfId="0" applyFont="1" applyFill="1" applyBorder="1" applyAlignment="1">
      <alignment horizontal="center" vertical="center" wrapText="1"/>
    </xf>
    <xf numFmtId="0" fontId="29" fillId="0" borderId="18" xfId="0" applyFont="1" applyFill="1" applyBorder="1" applyAlignment="1">
      <alignment horizontal="center" vertical="center"/>
    </xf>
    <xf numFmtId="0" fontId="18" fillId="0" borderId="15" xfId="0" applyFont="1" applyFill="1" applyBorder="1" applyAlignment="1">
      <alignment horizontal="center" vertical="center" wrapText="1"/>
    </xf>
    <xf numFmtId="0" fontId="29" fillId="0" borderId="22" xfId="0" applyFont="1" applyFill="1" applyBorder="1" applyAlignment="1">
      <alignment horizontal="center" vertical="center"/>
    </xf>
    <xf numFmtId="0" fontId="18" fillId="0" borderId="15"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29" fillId="0" borderId="21" xfId="0" applyFont="1" applyFill="1" applyBorder="1" applyAlignment="1">
      <alignment horizontal="center" vertical="center"/>
    </xf>
    <xf numFmtId="0" fontId="18" fillId="0" borderId="42" xfId="0" applyFont="1" applyFill="1" applyBorder="1" applyAlignment="1">
      <alignment horizontal="center" vertical="center" wrapText="1"/>
    </xf>
    <xf numFmtId="0" fontId="29" fillId="0" borderId="18" xfId="0" applyFont="1" applyFill="1" applyBorder="1" applyAlignment="1">
      <alignment horizontal="center" vertical="center"/>
    </xf>
    <xf numFmtId="0" fontId="18" fillId="0" borderId="23" xfId="0" applyFont="1" applyFill="1" applyBorder="1" applyAlignment="1">
      <alignment horizontal="center" vertical="center" wrapText="1"/>
    </xf>
    <xf numFmtId="14" fontId="29" fillId="0" borderId="18" xfId="0" applyNumberFormat="1" applyFont="1" applyFill="1" applyBorder="1" applyAlignment="1">
      <alignment horizontal="center" vertical="center" wrapText="1"/>
    </xf>
    <xf numFmtId="14" fontId="29" fillId="0" borderId="22" xfId="0" applyNumberFormat="1" applyFont="1" applyFill="1" applyBorder="1" applyAlignment="1">
      <alignment horizontal="center" vertical="center" wrapText="1"/>
    </xf>
    <xf numFmtId="4" fontId="18" fillId="0" borderId="41" xfId="0" applyNumberFormat="1" applyFont="1" applyFill="1" applyBorder="1" applyAlignment="1">
      <alignment horizontal="center" vertical="center" wrapText="1"/>
    </xf>
    <xf numFmtId="4" fontId="18" fillId="0" borderId="26" xfId="0" applyNumberFormat="1" applyFont="1" applyFill="1" applyBorder="1" applyAlignment="1">
      <alignment horizontal="center" vertical="center" wrapText="1"/>
    </xf>
    <xf numFmtId="14" fontId="29" fillId="0" borderId="10" xfId="0" applyNumberFormat="1" applyFont="1" applyFill="1" applyBorder="1" applyAlignment="1">
      <alignment horizontal="center" vertical="center" wrapText="1"/>
    </xf>
    <xf numFmtId="16" fontId="29" fillId="0" borderId="10" xfId="0" applyNumberFormat="1" applyFont="1" applyFill="1" applyBorder="1" applyAlignment="1">
      <alignment horizontal="center" vertical="center" wrapText="1"/>
    </xf>
    <xf numFmtId="0" fontId="18" fillId="0" borderId="51" xfId="0" applyFont="1" applyFill="1" applyBorder="1" applyAlignment="1">
      <alignment horizontal="center" vertical="center" wrapText="1"/>
    </xf>
    <xf numFmtId="49" fontId="29" fillId="0" borderId="52" xfId="0" applyNumberFormat="1" applyFont="1" applyFill="1" applyBorder="1" applyAlignment="1">
      <alignment horizontal="center" vertical="center"/>
    </xf>
    <xf numFmtId="4" fontId="18" fillId="0" borderId="32" xfId="0" applyNumberFormat="1" applyFont="1" applyFill="1" applyBorder="1" applyAlignment="1">
      <alignment horizontal="center" vertical="center"/>
    </xf>
    <xf numFmtId="4" fontId="18" fillId="0" borderId="32" xfId="0" applyNumberFormat="1" applyFont="1" applyFill="1" applyBorder="1" applyAlignment="1">
      <alignment horizontal="center" vertical="center" wrapText="1"/>
    </xf>
    <xf numFmtId="0" fontId="21" fillId="0" borderId="0" xfId="0" applyFont="1" applyFill="1" applyAlignment="1">
      <alignment horizontal="center" vertical="center" wrapText="1"/>
    </xf>
    <xf numFmtId="4" fontId="21" fillId="0" borderId="0" xfId="0" applyNumberFormat="1" applyFont="1" applyFill="1" applyAlignment="1">
      <alignment horizontal="center" vertical="center"/>
    </xf>
    <xf numFmtId="0" fontId="29" fillId="0" borderId="0" xfId="0" applyFont="1" applyFill="1" applyBorder="1" applyAlignment="1">
      <alignment horizontal="left" vertical="center" wrapText="1"/>
    </xf>
    <xf numFmtId="0" fontId="18" fillId="0" borderId="0" xfId="0" applyFont="1" applyFill="1" applyAlignment="1">
      <alignment horizontal="left" vertical="center" wrapText="1"/>
    </xf>
    <xf numFmtId="0" fontId="18" fillId="0" borderId="0" xfId="0" applyFont="1" applyFill="1" applyBorder="1" applyAlignment="1">
      <alignment horizontal="left" vertical="center" wrapText="1"/>
    </xf>
    <xf numFmtId="0" fontId="18" fillId="0" borderId="0" xfId="0" applyFont="1" applyFill="1" applyBorder="1" applyAlignment="1" applyProtection="1">
      <alignment horizontal="left" vertical="center" wrapText="1"/>
      <protection locked="0"/>
    </xf>
    <xf numFmtId="0" fontId="30" fillId="0" borderId="0" xfId="53" applyFont="1" applyFill="1" applyBorder="1" applyAlignment="1">
      <alignment horizontal="center" vertical="center" wrapText="1"/>
      <protection/>
    </xf>
    <xf numFmtId="0" fontId="18" fillId="0" borderId="20" xfId="0" applyNumberFormat="1" applyFont="1" applyFill="1" applyBorder="1" applyAlignment="1">
      <alignment horizontal="center" vertical="center" wrapText="1"/>
    </xf>
    <xf numFmtId="0" fontId="29" fillId="0" borderId="14" xfId="0" applyNumberFormat="1" applyFont="1" applyFill="1" applyBorder="1" applyAlignment="1">
      <alignment horizontal="center" vertical="center" wrapText="1"/>
    </xf>
    <xf numFmtId="49" fontId="18" fillId="0" borderId="23" xfId="0" applyNumberFormat="1" applyFont="1" applyFill="1" applyBorder="1" applyAlignment="1">
      <alignment horizontal="center" vertical="top" wrapText="1"/>
    </xf>
    <xf numFmtId="0" fontId="18" fillId="0" borderId="18" xfId="54" applyNumberFormat="1" applyFont="1" applyFill="1" applyBorder="1" applyAlignment="1">
      <alignment vertical="center" wrapText="1"/>
      <protection/>
    </xf>
    <xf numFmtId="0" fontId="18" fillId="0" borderId="48" xfId="0" applyFont="1" applyFill="1" applyBorder="1" applyAlignment="1">
      <alignment horizontal="center" vertical="center"/>
    </xf>
    <xf numFmtId="0" fontId="18" fillId="0" borderId="18" xfId="0" applyNumberFormat="1" applyFont="1" applyFill="1" applyBorder="1" applyAlignment="1">
      <alignment horizontal="center" vertical="center" wrapText="1"/>
    </xf>
    <xf numFmtId="2" fontId="18" fillId="0" borderId="18" xfId="0" applyNumberFormat="1" applyFont="1" applyFill="1" applyBorder="1" applyAlignment="1">
      <alignment horizontal="center" vertical="center" wrapText="1"/>
    </xf>
    <xf numFmtId="0" fontId="18" fillId="0" borderId="42" xfId="0" applyNumberFormat="1" applyFont="1" applyFill="1" applyBorder="1" applyAlignment="1">
      <alignment horizontal="center" vertical="center" wrapText="1"/>
    </xf>
    <xf numFmtId="49" fontId="29" fillId="0" borderId="48" xfId="0" applyNumberFormat="1" applyFont="1" applyFill="1" applyBorder="1" applyAlignment="1">
      <alignment horizontal="center" vertical="center" wrapText="1"/>
    </xf>
    <xf numFmtId="49" fontId="29" fillId="0" borderId="49" xfId="0" applyNumberFormat="1" applyFont="1" applyFill="1" applyBorder="1" applyAlignment="1">
      <alignment horizontal="center" vertical="center" wrapText="1"/>
    </xf>
    <xf numFmtId="49" fontId="29" fillId="0" borderId="50" xfId="0" applyNumberFormat="1" applyFont="1" applyFill="1" applyBorder="1" applyAlignment="1">
      <alignment horizontal="center" vertical="center" wrapText="1"/>
    </xf>
    <xf numFmtId="165" fontId="18" fillId="0" borderId="28" xfId="0" applyNumberFormat="1" applyFont="1" applyFill="1" applyBorder="1" applyAlignment="1">
      <alignment horizontal="center" vertical="center" wrapText="1"/>
    </xf>
    <xf numFmtId="0" fontId="29" fillId="0" borderId="28" xfId="0" applyNumberFormat="1" applyFont="1" applyFill="1" applyBorder="1" applyAlignment="1">
      <alignment horizontal="center" vertical="center" wrapText="1"/>
    </xf>
    <xf numFmtId="0" fontId="18" fillId="0" borderId="29" xfId="0" applyFont="1" applyFill="1" applyBorder="1" applyAlignment="1">
      <alignment horizontal="center" vertical="center" wrapText="1"/>
    </xf>
    <xf numFmtId="166" fontId="18" fillId="0" borderId="19" xfId="0" applyNumberFormat="1" applyFont="1" applyFill="1" applyBorder="1" applyAlignment="1">
      <alignment horizontal="center" vertical="center" wrapText="1"/>
    </xf>
    <xf numFmtId="166" fontId="18" fillId="0" borderId="15" xfId="0" applyNumberFormat="1" applyFont="1" applyFill="1" applyBorder="1" applyAlignment="1">
      <alignment horizontal="center" vertical="center" wrapText="1"/>
    </xf>
    <xf numFmtId="2" fontId="18" fillId="0" borderId="16" xfId="0" applyNumberFormat="1" applyFont="1" applyFill="1" applyBorder="1" applyAlignment="1">
      <alignment horizontal="center" vertical="center" wrapText="1"/>
    </xf>
    <xf numFmtId="49" fontId="29" fillId="0" borderId="0" xfId="0" applyNumberFormat="1" applyFont="1" applyFill="1" applyAlignment="1">
      <alignment horizontal="left" vertical="center"/>
    </xf>
    <xf numFmtId="164" fontId="18" fillId="0" borderId="0" xfId="0" applyNumberFormat="1" applyFont="1" applyFill="1" applyAlignment="1">
      <alignment vertical="center"/>
    </xf>
    <xf numFmtId="4" fontId="18" fillId="0" borderId="0" xfId="0" applyNumberFormat="1" applyFont="1" applyFill="1" applyAlignment="1">
      <alignment horizontal="left" vertical="center" shrinkToFit="1"/>
    </xf>
    <xf numFmtId="0" fontId="18" fillId="0" borderId="0" xfId="0" applyFont="1" applyFill="1" applyAlignment="1">
      <alignment horizontal="left" vertical="center"/>
    </xf>
    <xf numFmtId="164" fontId="18" fillId="0" borderId="0" xfId="0" applyNumberFormat="1" applyFont="1" applyFill="1" applyAlignment="1">
      <alignment/>
    </xf>
    <xf numFmtId="0" fontId="18" fillId="0" borderId="0" xfId="0" applyFont="1" applyFill="1" applyAlignment="1">
      <alignment horizontal="left" shrinkToFit="1"/>
    </xf>
    <xf numFmtId="0" fontId="29" fillId="0" borderId="0" xfId="0" applyFont="1" applyFill="1" applyAlignment="1">
      <alignment horizontal="left" wrapText="1"/>
    </xf>
    <xf numFmtId="165" fontId="18" fillId="0" borderId="29" xfId="0" applyNumberFormat="1" applyFont="1" applyFill="1" applyBorder="1" applyAlignment="1">
      <alignment horizontal="center" vertical="center" wrapText="1"/>
    </xf>
    <xf numFmtId="0" fontId="18" fillId="0" borderId="42" xfId="0" applyFont="1" applyFill="1" applyBorder="1" applyAlignment="1">
      <alignment/>
    </xf>
    <xf numFmtId="0" fontId="18" fillId="0" borderId="16" xfId="0" applyFont="1" applyFill="1" applyBorder="1" applyAlignment="1">
      <alignment/>
    </xf>
    <xf numFmtId="0" fontId="72" fillId="0" borderId="0" xfId="0" applyFont="1" applyFill="1" applyBorder="1" applyAlignment="1">
      <alignment vertical="center" wrapText="1"/>
    </xf>
    <xf numFmtId="0" fontId="23" fillId="0" borderId="0" xfId="0" applyFont="1" applyFill="1" applyAlignment="1">
      <alignment horizontal="center" vertical="center"/>
    </xf>
    <xf numFmtId="49" fontId="26" fillId="0" borderId="0" xfId="53" applyNumberFormat="1" applyFont="1" applyFill="1" applyAlignment="1">
      <alignment horizontal="center" vertical="center" wrapText="1"/>
      <protection/>
    </xf>
    <xf numFmtId="49" fontId="63" fillId="0" borderId="15" xfId="0" applyNumberFormat="1" applyFont="1" applyFill="1" applyBorder="1" applyAlignment="1">
      <alignment horizontal="center" vertical="center" wrapText="1"/>
    </xf>
    <xf numFmtId="49" fontId="63" fillId="0" borderId="18" xfId="0" applyNumberFormat="1" applyFont="1" applyFill="1" applyBorder="1" applyAlignment="1">
      <alignment horizontal="center" vertical="center"/>
    </xf>
    <xf numFmtId="0" fontId="62" fillId="0" borderId="18" xfId="54" applyNumberFormat="1" applyFont="1" applyFill="1" applyBorder="1" applyAlignment="1">
      <alignment horizontal="center" vertical="center"/>
      <protection/>
    </xf>
    <xf numFmtId="49" fontId="63" fillId="0" borderId="0" xfId="0" applyNumberFormat="1" applyFont="1" applyFill="1" applyAlignment="1">
      <alignment horizontal="left" vertical="center"/>
    </xf>
    <xf numFmtId="164" fontId="62" fillId="0" borderId="0" xfId="0" applyNumberFormat="1" applyFont="1" applyFill="1" applyBorder="1" applyAlignment="1">
      <alignment horizontal="center" vertical="center"/>
    </xf>
    <xf numFmtId="4" fontId="62" fillId="0" borderId="0" xfId="0" applyNumberFormat="1" applyFont="1" applyFill="1" applyBorder="1" applyAlignment="1">
      <alignment horizontal="center" vertical="center" shrinkToFit="1"/>
    </xf>
    <xf numFmtId="0" fontId="62" fillId="0" borderId="0" xfId="0" applyFont="1" applyFill="1" applyBorder="1" applyAlignment="1">
      <alignment horizontal="center" vertical="center" shrinkToFit="1"/>
    </xf>
    <xf numFmtId="49" fontId="62" fillId="0" borderId="0" xfId="0" applyNumberFormat="1" applyFont="1" applyFill="1" applyBorder="1" applyAlignment="1">
      <alignment horizontal="center" vertical="center" wrapText="1" shrinkToFit="1"/>
    </xf>
    <xf numFmtId="0" fontId="62" fillId="0" borderId="0" xfId="0" applyFont="1" applyFill="1" applyAlignment="1">
      <alignment horizontal="left" vertical="center"/>
    </xf>
    <xf numFmtId="0" fontId="18" fillId="0" borderId="0" xfId="0" applyFont="1" applyFill="1" applyBorder="1" applyAlignment="1">
      <alignment horizontal="left" vertical="center" shrinkToFit="1"/>
    </xf>
    <xf numFmtId="49" fontId="19" fillId="0" borderId="0" xfId="0" applyNumberFormat="1" applyFont="1" applyFill="1" applyAlignment="1">
      <alignment vertical="center"/>
    </xf>
    <xf numFmtId="49" fontId="20" fillId="0" borderId="0" xfId="0" applyNumberFormat="1" applyFont="1" applyFill="1" applyAlignment="1">
      <alignment vertical="center"/>
    </xf>
    <xf numFmtId="49" fontId="24" fillId="0" borderId="0" xfId="0" applyNumberFormat="1" applyFont="1" applyFill="1" applyAlignment="1">
      <alignment vertical="center"/>
    </xf>
    <xf numFmtId="164" fontId="24" fillId="0" borderId="0" xfId="0" applyNumberFormat="1" applyFont="1" applyFill="1" applyAlignment="1">
      <alignment vertical="center"/>
    </xf>
    <xf numFmtId="164" fontId="25" fillId="0" borderId="0" xfId="0" applyNumberFormat="1" applyFont="1" applyFill="1" applyAlignment="1">
      <alignment horizontal="left" vertical="center"/>
    </xf>
    <xf numFmtId="49" fontId="23" fillId="0" borderId="0" xfId="0" applyNumberFormat="1" applyFont="1" applyFill="1" applyAlignment="1">
      <alignment horizontal="center" vertical="center" wrapText="1"/>
    </xf>
    <xf numFmtId="49" fontId="28" fillId="0" borderId="0" xfId="53" applyNumberFormat="1" applyFont="1" applyFill="1" applyAlignment="1">
      <alignment horizontal="left" vertical="center" wrapText="1"/>
      <protection/>
    </xf>
    <xf numFmtId="0" fontId="18" fillId="0" borderId="45" xfId="0" applyNumberFormat="1" applyFont="1" applyFill="1" applyBorder="1" applyAlignment="1">
      <alignment horizontal="center" vertical="center" wrapText="1"/>
    </xf>
    <xf numFmtId="0" fontId="18" fillId="0" borderId="22" xfId="0" applyFont="1" applyFill="1" applyBorder="1" applyAlignment="1">
      <alignment vertical="center"/>
    </xf>
    <xf numFmtId="0" fontId="29" fillId="0" borderId="25" xfId="0" applyNumberFormat="1" applyFont="1" applyFill="1" applyBorder="1" applyAlignment="1">
      <alignment horizontal="center" vertical="center" wrapText="1"/>
    </xf>
    <xf numFmtId="0" fontId="18" fillId="0" borderId="16" xfId="0" applyNumberFormat="1" applyFont="1" applyFill="1" applyBorder="1" applyAlignment="1">
      <alignment horizontal="center" vertical="center" wrapText="1"/>
    </xf>
    <xf numFmtId="0" fontId="18" fillId="0" borderId="16" xfId="0" applyFont="1" applyFill="1" applyBorder="1" applyAlignment="1">
      <alignment horizontal="center" vertical="center" wrapText="1"/>
    </xf>
    <xf numFmtId="166" fontId="18" fillId="0" borderId="24" xfId="0" applyNumberFormat="1" applyFont="1" applyFill="1" applyBorder="1" applyAlignment="1">
      <alignment horizontal="center" vertical="center" wrapText="1"/>
    </xf>
    <xf numFmtId="0" fontId="18" fillId="0" borderId="20" xfId="0" applyFont="1" applyFill="1" applyBorder="1" applyAlignment="1">
      <alignment vertical="center"/>
    </xf>
    <xf numFmtId="0" fontId="18" fillId="0" borderId="20" xfId="0" applyFont="1" applyFill="1" applyBorder="1" applyAlignment="1">
      <alignment horizontal="center" vertical="center"/>
    </xf>
    <xf numFmtId="164" fontId="18" fillId="0" borderId="0" xfId="0" applyNumberFormat="1" applyFont="1" applyFill="1" applyBorder="1" applyAlignment="1">
      <alignment vertical="center"/>
    </xf>
    <xf numFmtId="4" fontId="18" fillId="0" borderId="18" xfId="0" applyNumberFormat="1" applyFont="1" applyFill="1" applyBorder="1" applyAlignment="1">
      <alignment horizontal="center" vertical="center" wrapText="1"/>
    </xf>
    <xf numFmtId="4" fontId="18" fillId="0" borderId="22" xfId="0" applyNumberFormat="1" applyFont="1" applyFill="1" applyBorder="1" applyAlignment="1">
      <alignment horizontal="center" vertical="center" wrapText="1"/>
    </xf>
    <xf numFmtId="0" fontId="18" fillId="0" borderId="22" xfId="0" applyNumberFormat="1" applyFont="1" applyFill="1" applyBorder="1" applyAlignment="1">
      <alignment horizontal="center" vertical="center" wrapText="1"/>
    </xf>
    <xf numFmtId="4" fontId="18" fillId="0" borderId="19" xfId="0" applyNumberFormat="1" applyFont="1" applyFill="1" applyBorder="1" applyAlignment="1">
      <alignment horizontal="center" vertical="center" wrapText="1"/>
    </xf>
    <xf numFmtId="4" fontId="18" fillId="0" borderId="26" xfId="0" applyNumberFormat="1" applyFont="1" applyFill="1" applyBorder="1" applyAlignment="1">
      <alignment horizontal="center" vertical="center" wrapText="1"/>
    </xf>
    <xf numFmtId="165" fontId="18" fillId="0" borderId="28" xfId="0" applyNumberFormat="1" applyFont="1" applyFill="1" applyBorder="1" applyAlignment="1">
      <alignment horizontal="center" vertical="center" wrapText="1"/>
    </xf>
    <xf numFmtId="0" fontId="18" fillId="0" borderId="28" xfId="0" applyNumberFormat="1" applyFont="1" applyFill="1" applyBorder="1" applyAlignment="1">
      <alignment horizontal="center" vertical="center" wrapText="1"/>
    </xf>
    <xf numFmtId="0" fontId="18" fillId="0" borderId="29" xfId="0" applyNumberFormat="1" applyFont="1" applyFill="1" applyBorder="1" applyAlignment="1">
      <alignment horizontal="center" vertical="center" wrapText="1"/>
    </xf>
    <xf numFmtId="0" fontId="18" fillId="0" borderId="16" xfId="0" applyFont="1" applyFill="1" applyBorder="1" applyAlignment="1">
      <alignment vertical="center" wrapText="1"/>
    </xf>
    <xf numFmtId="49" fontId="29" fillId="0" borderId="21" xfId="0" applyNumberFormat="1" applyFont="1" applyFill="1" applyBorder="1" applyAlignment="1">
      <alignment horizontal="center" vertical="center" wrapText="1"/>
    </xf>
    <xf numFmtId="0" fontId="18" fillId="0" borderId="42" xfId="0" applyFont="1" applyFill="1" applyBorder="1" applyAlignment="1">
      <alignment horizontal="center" vertical="center" wrapText="1"/>
    </xf>
    <xf numFmtId="0" fontId="18" fillId="0" borderId="15"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0" xfId="0" applyFont="1" applyFill="1" applyBorder="1" applyAlignment="1">
      <alignment/>
    </xf>
    <xf numFmtId="0" fontId="18" fillId="0" borderId="29" xfId="0" applyFont="1" applyFill="1" applyBorder="1" applyAlignment="1">
      <alignment horizontal="center"/>
    </xf>
    <xf numFmtId="0" fontId="29" fillId="0" borderId="19" xfId="0" applyFont="1" applyFill="1" applyBorder="1" applyAlignment="1">
      <alignment horizontal="center" wrapText="1"/>
    </xf>
    <xf numFmtId="0" fontId="29" fillId="0" borderId="24" xfId="0" applyFont="1" applyFill="1" applyBorder="1" applyAlignment="1">
      <alignment horizontal="center" wrapText="1"/>
    </xf>
    <xf numFmtId="0" fontId="29" fillId="0" borderId="25" xfId="0" applyFont="1" applyFill="1" applyBorder="1" applyAlignment="1">
      <alignment horizontal="center" wrapText="1"/>
    </xf>
    <xf numFmtId="49" fontId="19" fillId="0" borderId="0" xfId="0" applyNumberFormat="1" applyFont="1" applyFill="1" applyAlignment="1">
      <alignment horizontal="center" vertical="center"/>
    </xf>
    <xf numFmtId="49" fontId="20" fillId="0" borderId="0" xfId="0" applyNumberFormat="1" applyFont="1" applyFill="1" applyAlignment="1">
      <alignment horizontal="center" vertical="center"/>
    </xf>
    <xf numFmtId="0" fontId="18" fillId="0" borderId="53" xfId="0" applyFont="1" applyFill="1" applyBorder="1" applyAlignment="1">
      <alignment horizontal="center" vertical="center"/>
    </xf>
    <xf numFmtId="0" fontId="18" fillId="0" borderId="48" xfId="0" applyFont="1" applyFill="1" applyBorder="1" applyAlignment="1">
      <alignment horizontal="center" vertical="center"/>
    </xf>
    <xf numFmtId="0" fontId="18" fillId="0" borderId="0" xfId="0" applyFont="1" applyFill="1" applyAlignment="1">
      <alignment horizontal="left" vertical="center" wrapText="1"/>
    </xf>
    <xf numFmtId="0" fontId="18" fillId="0" borderId="10" xfId="0" applyFont="1" applyFill="1" applyBorder="1" applyAlignment="1">
      <alignment vertical="center"/>
    </xf>
    <xf numFmtId="0" fontId="18" fillId="0" borderId="17" xfId="0" applyFont="1" applyFill="1" applyBorder="1" applyAlignment="1">
      <alignment vertical="center"/>
    </xf>
    <xf numFmtId="0" fontId="18" fillId="0" borderId="23" xfId="0" applyFont="1" applyFill="1" applyBorder="1" applyAlignment="1">
      <alignment vertical="center"/>
    </xf>
    <xf numFmtId="0" fontId="18" fillId="0" borderId="0" xfId="0" applyFont="1" applyFill="1" applyAlignment="1">
      <alignment vertical="center" wrapText="1"/>
    </xf>
    <xf numFmtId="164" fontId="24" fillId="0" borderId="0" xfId="0" applyNumberFormat="1" applyFont="1" applyFill="1" applyAlignment="1">
      <alignment horizontal="center" vertical="center"/>
    </xf>
    <xf numFmtId="49" fontId="21" fillId="0" borderId="0" xfId="0" applyNumberFormat="1" applyFont="1" applyFill="1" applyAlignment="1">
      <alignment horizontal="center" vertical="center"/>
    </xf>
    <xf numFmtId="164" fontId="26" fillId="0" borderId="0" xfId="0" applyNumberFormat="1" applyFont="1" applyFill="1" applyAlignment="1" applyProtection="1">
      <alignment horizontal="center" vertical="center" wrapText="1"/>
      <protection locked="0"/>
    </xf>
    <xf numFmtId="0" fontId="26" fillId="0" borderId="0" xfId="0" applyFont="1" applyFill="1" applyAlignment="1" applyProtection="1">
      <alignment horizontal="center" vertical="center" wrapText="1"/>
      <protection locked="0"/>
    </xf>
    <xf numFmtId="49" fontId="28" fillId="0" borderId="0" xfId="53" applyNumberFormat="1" applyFont="1" applyFill="1" applyAlignment="1">
      <alignment horizontal="center" vertical="center" wrapText="1"/>
      <protection/>
    </xf>
    <xf numFmtId="0" fontId="18" fillId="0" borderId="0" xfId="0" applyFont="1" applyFill="1" applyBorder="1" applyAlignment="1">
      <alignment horizontal="center" vertical="center" wrapText="1"/>
    </xf>
    <xf numFmtId="0" fontId="18" fillId="0" borderId="0" xfId="0" applyFont="1" applyFill="1" applyAlignment="1">
      <alignment horizontal="center" vertical="center" wrapText="1"/>
    </xf>
    <xf numFmtId="164" fontId="18" fillId="0" borderId="0" xfId="0" applyNumberFormat="1" applyFont="1" applyFill="1" applyBorder="1" applyAlignment="1">
      <alignment horizontal="center" vertical="center"/>
    </xf>
    <xf numFmtId="4" fontId="18" fillId="0" borderId="0" xfId="0" applyNumberFormat="1" applyFont="1" applyFill="1" applyBorder="1" applyAlignment="1">
      <alignment horizontal="center" vertical="center" shrinkToFit="1"/>
    </xf>
    <xf numFmtId="0" fontId="22" fillId="0" borderId="0" xfId="0" applyFont="1" applyFill="1" applyBorder="1" applyAlignment="1">
      <alignment vertical="center" wrapText="1"/>
    </xf>
    <xf numFmtId="0" fontId="72" fillId="0" borderId="0" xfId="0" applyFont="1" applyFill="1" applyBorder="1" applyAlignment="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6" fillId="0" borderId="0" xfId="0" applyFont="1" applyFill="1" applyAlignment="1" applyProtection="1">
      <alignment vertical="center"/>
      <protection locked="0"/>
    </xf>
    <xf numFmtId="0" fontId="22" fillId="0" borderId="0" xfId="0" applyFont="1" applyBorder="1" applyAlignment="1">
      <alignment vertical="center" wrapText="1"/>
    </xf>
    <xf numFmtId="0" fontId="18" fillId="0" borderId="22" xfId="0" applyFont="1" applyBorder="1" applyAlignment="1">
      <alignment horizontal="center" vertical="center" wrapText="1"/>
    </xf>
    <xf numFmtId="0" fontId="18" fillId="33" borderId="28" xfId="0" applyNumberFormat="1" applyFont="1" applyFill="1" applyBorder="1" applyAlignment="1">
      <alignment horizontal="center" vertical="center" wrapText="1"/>
    </xf>
    <xf numFmtId="0" fontId="18" fillId="33" borderId="29" xfId="0" applyNumberFormat="1" applyFont="1" applyFill="1" applyBorder="1" applyAlignment="1">
      <alignment horizontal="center" vertical="center" wrapText="1"/>
    </xf>
    <xf numFmtId="166" fontId="18" fillId="33" borderId="19" xfId="0" applyNumberFormat="1" applyFont="1" applyFill="1" applyBorder="1" applyAlignment="1">
      <alignment horizontal="center" vertical="center" wrapText="1"/>
    </xf>
    <xf numFmtId="166" fontId="18" fillId="33" borderId="15" xfId="0" applyNumberFormat="1" applyFont="1" applyFill="1" applyBorder="1" applyAlignment="1">
      <alignment horizontal="center" vertical="center" wrapText="1"/>
    </xf>
    <xf numFmtId="0" fontId="18" fillId="33" borderId="16" xfId="0" applyFont="1" applyFill="1" applyBorder="1" applyAlignment="1">
      <alignment horizontal="center" vertical="center" wrapText="1"/>
    </xf>
    <xf numFmtId="164" fontId="18" fillId="0" borderId="0" xfId="0" applyNumberFormat="1" applyFont="1" applyFill="1" applyBorder="1" applyAlignment="1">
      <alignment/>
    </xf>
    <xf numFmtId="0" fontId="18" fillId="0" borderId="0" xfId="0" applyFont="1" applyFill="1" applyBorder="1" applyAlignment="1">
      <alignment horizontal="left" shrinkToFit="1"/>
    </xf>
    <xf numFmtId="0" fontId="29" fillId="0" borderId="11" xfId="52" applyFont="1" applyFill="1" applyBorder="1" applyAlignment="1">
      <alignment horizontal="center" vertical="center" wrapText="1"/>
      <protection/>
    </xf>
    <xf numFmtId="0" fontId="29" fillId="0" borderId="12" xfId="52" applyFont="1" applyFill="1" applyBorder="1" applyAlignment="1">
      <alignment horizontal="center" vertical="center" wrapText="1"/>
      <protection/>
    </xf>
    <xf numFmtId="166" fontId="29" fillId="0" borderId="12" xfId="52" applyNumberFormat="1" applyFont="1" applyFill="1" applyBorder="1" applyAlignment="1">
      <alignment horizontal="center" vertical="center" wrapText="1"/>
      <protection/>
    </xf>
    <xf numFmtId="4" fontId="29" fillId="0" borderId="12" xfId="52" applyNumberFormat="1" applyFont="1" applyFill="1" applyBorder="1" applyAlignment="1">
      <alignment horizontal="center" vertical="center" wrapText="1"/>
      <protection/>
    </xf>
    <xf numFmtId="0" fontId="29" fillId="0" borderId="13" xfId="52" applyFont="1" applyFill="1" applyBorder="1" applyAlignment="1">
      <alignment horizontal="center" vertical="center" wrapText="1"/>
      <protection/>
    </xf>
    <xf numFmtId="0" fontId="18" fillId="0" borderId="27"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2" fontId="18" fillId="0" borderId="28" xfId="0" applyNumberFormat="1" applyFont="1" applyFill="1" applyBorder="1" applyAlignment="1">
      <alignment horizontal="center" vertical="center" wrapText="1"/>
    </xf>
    <xf numFmtId="2" fontId="18" fillId="0" borderId="42" xfId="0" applyNumberFormat="1" applyFont="1" applyFill="1" applyBorder="1" applyAlignment="1">
      <alignment horizontal="center" vertical="center" wrapText="1"/>
    </xf>
    <xf numFmtId="2" fontId="18" fillId="0" borderId="29" xfId="0" applyNumberFormat="1" applyFont="1" applyFill="1" applyBorder="1" applyAlignment="1">
      <alignment horizontal="center" vertical="center" wrapText="1"/>
    </xf>
    <xf numFmtId="4" fontId="18" fillId="0" borderId="15" xfId="0" applyNumberFormat="1" applyFont="1" applyFill="1" applyBorder="1" applyAlignment="1">
      <alignment horizontal="center" vertical="center" wrapText="1"/>
    </xf>
    <xf numFmtId="0" fontId="18" fillId="0" borderId="18" xfId="0" applyNumberFormat="1" applyFont="1" applyFill="1" applyBorder="1" applyAlignment="1">
      <alignment horizontal="center" vertical="center"/>
    </xf>
    <xf numFmtId="2" fontId="18" fillId="0" borderId="19" xfId="0" applyNumberFormat="1" applyFont="1" applyFill="1" applyBorder="1" applyAlignment="1">
      <alignment horizontal="center" vertical="center"/>
    </xf>
    <xf numFmtId="0" fontId="29" fillId="0" borderId="25" xfId="0" applyFont="1" applyFill="1" applyBorder="1" applyAlignment="1">
      <alignment horizontal="center" vertical="center" wrapText="1"/>
    </xf>
    <xf numFmtId="0" fontId="18" fillId="0" borderId="21" xfId="0" applyNumberFormat="1" applyFont="1" applyFill="1" applyBorder="1" applyAlignment="1">
      <alignment horizontal="center" vertical="center"/>
    </xf>
    <xf numFmtId="0" fontId="18" fillId="0" borderId="25" xfId="0" applyNumberFormat="1" applyFont="1" applyFill="1" applyBorder="1" applyAlignment="1">
      <alignment horizontal="center" vertical="center" wrapText="1"/>
    </xf>
    <xf numFmtId="0" fontId="18" fillId="0" borderId="22" xfId="0" applyNumberFormat="1" applyFont="1" applyFill="1" applyBorder="1" applyAlignment="1">
      <alignment horizontal="center" vertical="center"/>
    </xf>
    <xf numFmtId="0" fontId="18" fillId="0" borderId="53" xfId="0" applyNumberFormat="1"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14" xfId="0" applyNumberFormat="1" applyFont="1" applyFill="1" applyBorder="1" applyAlignment="1">
      <alignment horizontal="center" vertical="center" wrapText="1"/>
    </xf>
    <xf numFmtId="0" fontId="18" fillId="0" borderId="15" xfId="0" applyNumberFormat="1" applyFont="1" applyFill="1" applyBorder="1" applyAlignment="1">
      <alignment horizontal="center" vertical="center" wrapText="1"/>
    </xf>
    <xf numFmtId="0" fontId="18" fillId="0" borderId="47" xfId="0" applyFont="1" applyFill="1" applyBorder="1" applyAlignment="1">
      <alignment horizontal="center" vertical="center" wrapText="1"/>
    </xf>
    <xf numFmtId="0" fontId="18" fillId="0" borderId="54" xfId="0" applyFont="1" applyFill="1" applyBorder="1" applyAlignment="1">
      <alignment horizontal="center" vertical="center" wrapText="1"/>
    </xf>
    <xf numFmtId="0" fontId="18" fillId="0" borderId="50" xfId="0" applyFont="1" applyFill="1" applyBorder="1" applyAlignment="1">
      <alignment horizontal="center" vertical="center" wrapText="1"/>
    </xf>
    <xf numFmtId="0" fontId="29" fillId="0" borderId="25" xfId="54" applyNumberFormat="1" applyFont="1" applyFill="1" applyBorder="1" applyAlignment="1">
      <alignment horizontal="center" vertical="center" wrapText="1"/>
      <protection/>
    </xf>
    <xf numFmtId="49" fontId="18" fillId="0" borderId="17" xfId="0" applyNumberFormat="1" applyFont="1" applyFill="1" applyBorder="1" applyAlignment="1">
      <alignment horizontal="center" vertical="center" wrapText="1"/>
    </xf>
    <xf numFmtId="0" fontId="18" fillId="0" borderId="25" xfId="0" applyNumberFormat="1" applyFont="1" applyFill="1" applyBorder="1" applyAlignment="1">
      <alignment horizontal="center" vertical="center" wrapText="1"/>
    </xf>
    <xf numFmtId="0" fontId="29" fillId="0" borderId="0" xfId="0" applyFont="1" applyFill="1" applyAlignment="1">
      <alignment horizontal="center" vertical="center"/>
    </xf>
    <xf numFmtId="0" fontId="20" fillId="0" borderId="0" xfId="0" applyFont="1" applyFill="1" applyAlignment="1">
      <alignment vertical="center" wrapText="1"/>
    </xf>
    <xf numFmtId="0" fontId="44" fillId="0" borderId="0" xfId="0" applyFont="1" applyFill="1" applyBorder="1" applyAlignment="1">
      <alignment vertical="top" wrapText="1"/>
    </xf>
    <xf numFmtId="0" fontId="22" fillId="0" borderId="0" xfId="0" applyFont="1" applyFill="1" applyAlignment="1">
      <alignment wrapText="1"/>
    </xf>
    <xf numFmtId="0" fontId="23" fillId="0" borderId="0" xfId="0" applyFont="1" applyFill="1" applyAlignment="1">
      <alignment/>
    </xf>
    <xf numFmtId="0" fontId="26" fillId="0" borderId="0" xfId="0" applyFont="1" applyFill="1" applyBorder="1" applyAlignment="1">
      <alignment vertical="top" wrapText="1"/>
    </xf>
    <xf numFmtId="0" fontId="26" fillId="0" borderId="0" xfId="53" applyFont="1" applyFill="1" applyBorder="1" applyAlignment="1">
      <alignment horizontal="center" vertical="center" wrapText="1"/>
      <protection/>
    </xf>
    <xf numFmtId="0" fontId="18" fillId="0" borderId="42"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21" xfId="0" applyFont="1" applyBorder="1" applyAlignment="1">
      <alignment horizontal="center" vertical="center" wrapText="1"/>
    </xf>
    <xf numFmtId="4" fontId="18" fillId="0" borderId="42" xfId="0" applyNumberFormat="1" applyFont="1" applyFill="1" applyBorder="1" applyAlignment="1">
      <alignment horizontal="center" vertical="center" wrapText="1"/>
    </xf>
    <xf numFmtId="0" fontId="18" fillId="0" borderId="28" xfId="0" applyFont="1" applyFill="1" applyBorder="1" applyAlignment="1">
      <alignment horizontal="center"/>
    </xf>
    <xf numFmtId="0" fontId="18" fillId="0" borderId="16" xfId="0" applyFont="1" applyFill="1" applyBorder="1" applyAlignment="1">
      <alignment horizontal="center"/>
    </xf>
    <xf numFmtId="14" fontId="18" fillId="0" borderId="18" xfId="0" applyNumberFormat="1" applyFont="1" applyBorder="1" applyAlignment="1">
      <alignment horizontal="center" vertical="center" wrapText="1"/>
    </xf>
    <xf numFmtId="14" fontId="18" fillId="0" borderId="22" xfId="0" applyNumberFormat="1" applyFont="1" applyBorder="1" applyAlignment="1">
      <alignment horizontal="center" vertical="center" wrapText="1"/>
    </xf>
    <xf numFmtId="0" fontId="18" fillId="0" borderId="41"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23" xfId="0" applyFont="1" applyBorder="1" applyAlignment="1">
      <alignment horizontal="center" vertical="center" wrapText="1"/>
    </xf>
    <xf numFmtId="49" fontId="29" fillId="0" borderId="0" xfId="0" applyNumberFormat="1" applyFont="1" applyFill="1" applyBorder="1" applyAlignment="1">
      <alignment horizontal="center"/>
    </xf>
    <xf numFmtId="0" fontId="18" fillId="0" borderId="0" xfId="0" applyFont="1" applyFill="1" applyBorder="1" applyAlignment="1">
      <alignment horizontal="left" vertical="center" wrapText="1"/>
    </xf>
    <xf numFmtId="2" fontId="18" fillId="0" borderId="0" xfId="0" applyNumberFormat="1" applyFont="1" applyFill="1" applyBorder="1" applyAlignment="1">
      <alignment horizontal="center" vertical="center" wrapText="1"/>
    </xf>
    <xf numFmtId="49" fontId="26" fillId="0" borderId="0" xfId="53" applyNumberFormat="1" applyFont="1" applyFill="1" applyAlignment="1">
      <alignment horizontal="center" vertical="top" wrapText="1"/>
      <protection/>
    </xf>
    <xf numFmtId="4" fontId="45" fillId="0" borderId="0" xfId="0" applyNumberFormat="1" applyFont="1" applyFill="1" applyBorder="1" applyAlignment="1">
      <alignment horizontal="left" vertical="center"/>
    </xf>
    <xf numFmtId="164" fontId="20" fillId="0" borderId="0" xfId="0" applyNumberFormat="1" applyFont="1" applyFill="1" applyAlignment="1">
      <alignment horizontal="left" vertical="center"/>
    </xf>
    <xf numFmtId="0" fontId="20" fillId="0" borderId="0" xfId="0" applyFont="1" applyFill="1" applyAlignment="1">
      <alignment horizontal="left" vertical="center"/>
    </xf>
    <xf numFmtId="4" fontId="18" fillId="0" borderId="29" xfId="0" applyNumberFormat="1" applyFont="1" applyFill="1" applyBorder="1" applyAlignment="1">
      <alignment horizontal="center" vertical="center" wrapText="1"/>
    </xf>
    <xf numFmtId="4" fontId="18" fillId="0" borderId="16" xfId="0" applyNumberFormat="1" applyFont="1" applyFill="1" applyBorder="1" applyAlignment="1">
      <alignment horizontal="center" vertical="center" wrapText="1"/>
    </xf>
    <xf numFmtId="4" fontId="18" fillId="0" borderId="50" xfId="0" applyNumberFormat="1" applyFont="1" applyFill="1" applyBorder="1" applyAlignment="1">
      <alignment horizontal="center" vertical="center" wrapText="1"/>
    </xf>
    <xf numFmtId="49" fontId="29" fillId="0" borderId="0" xfId="0" applyNumberFormat="1" applyFont="1" applyFill="1" applyBorder="1" applyAlignment="1">
      <alignment horizontal="center" vertical="center"/>
    </xf>
    <xf numFmtId="0" fontId="29" fillId="0" borderId="27" xfId="0" applyFont="1" applyFill="1" applyBorder="1" applyAlignment="1">
      <alignment horizontal="center" vertical="center" wrapText="1"/>
    </xf>
    <xf numFmtId="0" fontId="29" fillId="0" borderId="22" xfId="0" applyNumberFormat="1" applyFont="1" applyFill="1" applyBorder="1" applyAlignment="1">
      <alignment horizontal="center" vertical="center" wrapText="1"/>
    </xf>
    <xf numFmtId="0" fontId="29" fillId="0" borderId="0" xfId="0" applyFont="1" applyFill="1" applyAlignment="1">
      <alignment horizontal="center" vertical="center" wrapText="1"/>
    </xf>
    <xf numFmtId="0" fontId="23" fillId="0" borderId="0" xfId="0" applyFont="1" applyFill="1" applyBorder="1" applyAlignment="1">
      <alignment horizontal="center" vertical="center" wrapText="1"/>
    </xf>
    <xf numFmtId="49" fontId="18" fillId="0" borderId="0" xfId="0" applyNumberFormat="1" applyFont="1" applyFill="1" applyAlignment="1">
      <alignment horizontal="center" vertical="center"/>
    </xf>
    <xf numFmtId="49" fontId="18" fillId="0" borderId="0" xfId="0" applyNumberFormat="1" applyFont="1" applyFill="1" applyAlignment="1">
      <alignment horizontal="center"/>
    </xf>
    <xf numFmtId="49" fontId="18" fillId="0" borderId="0" xfId="0" applyNumberFormat="1" applyFont="1" applyFill="1" applyAlignment="1">
      <alignment/>
    </xf>
    <xf numFmtId="49" fontId="29" fillId="0" borderId="30" xfId="0" applyNumberFormat="1" applyFont="1" applyFill="1" applyBorder="1" applyAlignment="1">
      <alignment horizontal="center" vertical="center" wrapText="1"/>
    </xf>
    <xf numFmtId="49" fontId="29" fillId="0" borderId="55" xfId="0" applyNumberFormat="1" applyFont="1" applyFill="1" applyBorder="1" applyAlignment="1">
      <alignment horizontal="center" vertical="center" wrapText="1"/>
    </xf>
    <xf numFmtId="49" fontId="29" fillId="0" borderId="47" xfId="0" applyNumberFormat="1" applyFont="1" applyFill="1" applyBorder="1" applyAlignment="1">
      <alignment horizontal="center" vertical="center" wrapText="1"/>
    </xf>
    <xf numFmtId="0" fontId="18" fillId="0" borderId="20" xfId="0" applyFont="1" applyFill="1" applyBorder="1" applyAlignment="1">
      <alignment horizontal="center" vertical="center" wrapText="1"/>
    </xf>
    <xf numFmtId="2" fontId="18" fillId="0" borderId="10" xfId="61" applyNumberFormat="1" applyFont="1" applyFill="1" applyBorder="1" applyAlignment="1">
      <alignment horizontal="center" vertical="center" wrapText="1"/>
    </xf>
    <xf numFmtId="0" fontId="18" fillId="0" borderId="42" xfId="0" applyFont="1" applyFill="1" applyBorder="1" applyAlignment="1">
      <alignment horizontal="center" vertical="center"/>
    </xf>
    <xf numFmtId="2" fontId="18" fillId="0" borderId="21" xfId="0" applyNumberFormat="1" applyFont="1" applyFill="1" applyBorder="1" applyAlignment="1">
      <alignment horizontal="center" vertical="center"/>
    </xf>
    <xf numFmtId="2" fontId="18" fillId="0" borderId="50" xfId="0" applyNumberFormat="1" applyFont="1" applyFill="1" applyBorder="1" applyAlignment="1">
      <alignment horizontal="center" vertical="center" wrapText="1"/>
    </xf>
    <xf numFmtId="2" fontId="18" fillId="0" borderId="25" xfId="0" applyNumberFormat="1" applyFont="1" applyFill="1" applyBorder="1" applyAlignment="1">
      <alignment horizontal="center" vertical="center" wrapText="1"/>
    </xf>
    <xf numFmtId="0" fontId="29" fillId="0" borderId="0" xfId="0" applyFont="1" applyFill="1" applyAlignment="1">
      <alignment horizontal="left"/>
    </xf>
    <xf numFmtId="166" fontId="18" fillId="0" borderId="10" xfId="0" applyNumberFormat="1" applyFont="1" applyFill="1" applyBorder="1" applyAlignment="1">
      <alignment horizontal="center" vertical="center" wrapText="1"/>
    </xf>
    <xf numFmtId="0" fontId="62" fillId="0" borderId="0" xfId="0" applyFont="1" applyFill="1" applyBorder="1" applyAlignment="1">
      <alignment horizontal="left" vertical="center" shrinkToFit="1"/>
    </xf>
    <xf numFmtId="0" fontId="18" fillId="0" borderId="10" xfId="0" applyFont="1" applyFill="1" applyBorder="1" applyAlignment="1">
      <alignment/>
    </xf>
    <xf numFmtId="49" fontId="63" fillId="0" borderId="0" xfId="0" applyNumberFormat="1" applyFont="1" applyFill="1" applyAlignment="1">
      <alignment horizontal="left" vertical="center"/>
    </xf>
    <xf numFmtId="49" fontId="63" fillId="0" borderId="0" xfId="0" applyNumberFormat="1" applyFont="1" applyFill="1" applyAlignment="1">
      <alignment vertical="center"/>
    </xf>
    <xf numFmtId="0" fontId="62" fillId="0" borderId="0" xfId="0" applyFont="1" applyFill="1" applyBorder="1" applyAlignment="1">
      <alignment horizontal="center" shrinkToFit="1"/>
    </xf>
    <xf numFmtId="0" fontId="70" fillId="0" borderId="0" xfId="0" applyFont="1" applyFill="1" applyAlignment="1">
      <alignment vertical="center" wrapText="1"/>
    </xf>
    <xf numFmtId="0" fontId="70" fillId="0" borderId="0" xfId="0" applyFont="1" applyFill="1" applyBorder="1" applyAlignment="1" applyProtection="1">
      <alignment vertical="center" wrapText="1"/>
      <protection locked="0"/>
    </xf>
    <xf numFmtId="49" fontId="72" fillId="0" borderId="0" xfId="53" applyNumberFormat="1" applyFont="1" applyFill="1" applyAlignment="1">
      <alignment horizontal="center" vertical="top" wrapText="1"/>
      <protection/>
    </xf>
    <xf numFmtId="0" fontId="63" fillId="0" borderId="56" xfId="0" applyFont="1" applyFill="1" applyBorder="1" applyAlignment="1">
      <alignment horizontal="center" vertical="center" wrapText="1"/>
    </xf>
    <xf numFmtId="0" fontId="62" fillId="0" borderId="47" xfId="0" applyFont="1" applyFill="1" applyBorder="1" applyAlignment="1">
      <alignment horizontal="center" vertical="center" wrapText="1"/>
    </xf>
    <xf numFmtId="0" fontId="62" fillId="0" borderId="54" xfId="0" applyFont="1" applyFill="1" applyBorder="1" applyAlignment="1">
      <alignment horizontal="center" vertical="center" wrapText="1"/>
    </xf>
    <xf numFmtId="0" fontId="62" fillId="0" borderId="50" xfId="0" applyFont="1" applyFill="1" applyBorder="1" applyAlignment="1">
      <alignment horizontal="center" vertical="center" wrapText="1"/>
    </xf>
    <xf numFmtId="0" fontId="62" fillId="0" borderId="29" xfId="0" applyFont="1" applyFill="1" applyBorder="1" applyAlignment="1">
      <alignment horizontal="center" vertical="center" wrapText="1"/>
    </xf>
    <xf numFmtId="0" fontId="62" fillId="0" borderId="25" xfId="0" applyFont="1" applyFill="1" applyBorder="1" applyAlignment="1">
      <alignment horizontal="center" vertical="center" wrapText="1"/>
    </xf>
    <xf numFmtId="0" fontId="63" fillId="0" borderId="47" xfId="0" applyNumberFormat="1" applyFont="1" applyFill="1" applyBorder="1" applyAlignment="1">
      <alignment horizontal="center" vertical="center" wrapText="1"/>
    </xf>
    <xf numFmtId="0" fontId="62" fillId="0" borderId="47" xfId="0" applyNumberFormat="1" applyFont="1" applyFill="1" applyBorder="1" applyAlignment="1">
      <alignment horizontal="center" vertical="center" wrapText="1"/>
    </xf>
    <xf numFmtId="0" fontId="62" fillId="0" borderId="17" xfId="0" applyNumberFormat="1" applyFont="1" applyFill="1" applyBorder="1" applyAlignment="1">
      <alignment horizontal="center" vertical="center"/>
    </xf>
    <xf numFmtId="0" fontId="62" fillId="0" borderId="23" xfId="0" applyNumberFormat="1" applyFont="1" applyFill="1" applyBorder="1" applyAlignment="1">
      <alignment horizontal="center" vertical="center"/>
    </xf>
    <xf numFmtId="0" fontId="62" fillId="0" borderId="25" xfId="0" applyFont="1" applyFill="1" applyBorder="1" applyAlignment="1">
      <alignment horizontal="center" vertical="center"/>
    </xf>
    <xf numFmtId="0" fontId="63" fillId="0" borderId="16" xfId="0" applyFont="1" applyFill="1" applyBorder="1" applyAlignment="1">
      <alignment horizontal="center" vertical="center" wrapText="1"/>
    </xf>
    <xf numFmtId="0" fontId="62" fillId="0" borderId="57" xfId="0" applyFont="1" applyFill="1" applyBorder="1" applyAlignment="1">
      <alignment horizontal="center" vertical="center" wrapText="1"/>
    </xf>
    <xf numFmtId="0" fontId="18" fillId="33" borderId="16" xfId="0" applyNumberFormat="1" applyFont="1" applyFill="1" applyBorder="1" applyAlignment="1">
      <alignment horizontal="center" vertical="center" wrapText="1"/>
    </xf>
    <xf numFmtId="49" fontId="18" fillId="33" borderId="27" xfId="0" applyNumberFormat="1" applyFont="1" applyFill="1" applyBorder="1" applyAlignment="1">
      <alignment horizontal="center" vertical="center" wrapText="1"/>
    </xf>
    <xf numFmtId="0" fontId="18" fillId="0" borderId="28" xfId="0" applyFont="1" applyBorder="1" applyAlignment="1">
      <alignment horizontal="center" vertical="center" wrapText="1"/>
    </xf>
    <xf numFmtId="49" fontId="18" fillId="0" borderId="29" xfId="0" applyNumberFormat="1" applyFont="1" applyBorder="1" applyAlignment="1">
      <alignment horizontal="center" vertical="center" wrapText="1"/>
    </xf>
    <xf numFmtId="0" fontId="18" fillId="0" borderId="28" xfId="0" applyNumberFormat="1" applyFont="1" applyBorder="1" applyAlignment="1">
      <alignment horizontal="center" vertical="center" wrapText="1"/>
    </xf>
    <xf numFmtId="0" fontId="18" fillId="0" borderId="29" xfId="0" applyNumberFormat="1" applyFont="1" applyBorder="1" applyAlignment="1">
      <alignment horizontal="center" vertical="center" wrapText="1"/>
    </xf>
    <xf numFmtId="0" fontId="18" fillId="0" borderId="25" xfId="0" applyFont="1" applyBorder="1" applyAlignment="1">
      <alignment horizontal="center" vertical="center" wrapText="1"/>
    </xf>
    <xf numFmtId="0" fontId="18" fillId="0" borderId="17" xfId="0" applyNumberFormat="1" applyFont="1" applyFill="1" applyBorder="1" applyAlignment="1">
      <alignment horizontal="center" vertical="top" wrapText="1"/>
    </xf>
    <xf numFmtId="0" fontId="18" fillId="0" borderId="14" xfId="0" applyFont="1" applyFill="1" applyBorder="1" applyAlignment="1">
      <alignment horizontal="center" vertical="top"/>
    </xf>
    <xf numFmtId="0" fontId="18" fillId="0" borderId="23" xfId="0" applyFont="1" applyFill="1" applyBorder="1" applyAlignment="1">
      <alignment horizontal="center" vertical="top"/>
    </xf>
    <xf numFmtId="49" fontId="29" fillId="33" borderId="32" xfId="0" applyNumberFormat="1" applyFont="1" applyFill="1" applyBorder="1" applyAlignment="1">
      <alignment horizontal="center" vertical="center" wrapText="1"/>
    </xf>
    <xf numFmtId="0" fontId="18" fillId="33" borderId="32" xfId="0" applyFont="1" applyFill="1" applyBorder="1" applyAlignment="1">
      <alignment horizontal="center" vertical="center" wrapText="1"/>
    </xf>
    <xf numFmtId="0" fontId="18" fillId="33" borderId="32" xfId="54" applyNumberFormat="1" applyFont="1" applyFill="1" applyBorder="1" applyAlignment="1">
      <alignment horizontal="center" vertical="center" wrapText="1"/>
      <protection/>
    </xf>
    <xf numFmtId="0" fontId="18" fillId="0" borderId="44"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5" xfId="52"/>
    <cellStyle name="Обычный 6" xfId="53"/>
    <cellStyle name="Обычный_Лист1"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arkinaav\Downloads\&#1082;&#1086;&#1084;&#1087;&#1083;&#1077;&#1082;&#1089;&#109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комплексы"/>
    </sheetNames>
    <sheetDataSet>
      <sheetData sheetId="0">
        <row r="17">
          <cell r="E17">
            <v>8222</v>
          </cell>
        </row>
        <row r="24">
          <cell r="E24">
            <v>11142</v>
          </cell>
        </row>
        <row r="30">
          <cell r="E30">
            <v>5676</v>
          </cell>
        </row>
        <row r="36">
          <cell r="E36">
            <v>7136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44"/>
  <sheetViews>
    <sheetView zoomScale="70" zoomScaleNormal="70" zoomScalePageLayoutView="0" workbookViewId="0" topLeftCell="A1">
      <selection activeCell="A10" sqref="A10:H10"/>
    </sheetView>
  </sheetViews>
  <sheetFormatPr defaultColWidth="9.140625" defaultRowHeight="15"/>
  <cols>
    <col min="1" max="1" width="8.28125" style="5" customWidth="1"/>
    <col min="2" max="2" width="13.140625" style="5" bestFit="1" customWidth="1"/>
    <col min="3" max="3" width="47.57421875" style="5" customWidth="1"/>
    <col min="4" max="4" width="20.140625" style="6" customWidth="1"/>
    <col min="5" max="5" width="20.140625" style="7" customWidth="1"/>
    <col min="6" max="6" width="20.140625" style="5" customWidth="1"/>
    <col min="7" max="7" width="20.140625" style="17" customWidth="1"/>
    <col min="8" max="8" width="91.57421875" style="18" customWidth="1"/>
    <col min="9" max="246" width="9.140625" style="10" customWidth="1"/>
    <col min="247" max="247" width="7.57421875" style="10" customWidth="1"/>
    <col min="248" max="248" width="13.00390625" style="10" customWidth="1"/>
    <col min="249" max="249" width="47.28125" style="10" customWidth="1"/>
    <col min="250" max="250" width="15.140625" style="10" customWidth="1"/>
    <col min="251" max="251" width="20.00390625" style="10" customWidth="1"/>
    <col min="252" max="252" width="14.28125" style="10" customWidth="1"/>
    <col min="253" max="253" width="14.7109375" style="10" customWidth="1"/>
    <col min="254" max="254" width="51.57421875" style="10" customWidth="1"/>
    <col min="255" max="16384" width="0" style="10" hidden="1" customWidth="1"/>
  </cols>
  <sheetData>
    <row r="1" spans="7:8" ht="18.75">
      <c r="G1" s="8"/>
      <c r="H1" s="8"/>
    </row>
    <row r="2" spans="7:8" ht="22.5" customHeight="1">
      <c r="G2" s="10"/>
      <c r="H2" s="635" t="s">
        <v>0</v>
      </c>
    </row>
    <row r="3" spans="7:8" ht="20.25" customHeight="1">
      <c r="G3" s="10"/>
      <c r="H3" s="254" t="s">
        <v>1</v>
      </c>
    </row>
    <row r="4" spans="1:8" s="15" customFormat="1" ht="20.25" customHeight="1">
      <c r="A4" s="11"/>
      <c r="B4" s="12"/>
      <c r="C4" s="12"/>
      <c r="D4" s="13"/>
      <c r="E4" s="14"/>
      <c r="H4" s="255" t="s">
        <v>2</v>
      </c>
    </row>
    <row r="5" spans="1:8" s="15" customFormat="1" ht="20.25">
      <c r="A5" s="11"/>
      <c r="B5" s="12"/>
      <c r="C5" s="12"/>
      <c r="D5" s="13"/>
      <c r="E5" s="14"/>
      <c r="F5" s="16"/>
      <c r="H5" s="114"/>
    </row>
    <row r="6" spans="1:8" s="15" customFormat="1" ht="18.75">
      <c r="A6" s="11"/>
      <c r="B6" s="12"/>
      <c r="C6" s="12"/>
      <c r="D6" s="13"/>
      <c r="E6" s="14"/>
      <c r="F6" s="16"/>
      <c r="H6" s="2"/>
    </row>
    <row r="7" spans="1:8" s="15" customFormat="1" ht="20.25" customHeight="1">
      <c r="A7" s="11"/>
      <c r="B7" s="12"/>
      <c r="C7" s="12"/>
      <c r="D7" s="13"/>
      <c r="E7" s="14"/>
      <c r="F7" s="16"/>
      <c r="H7" s="112" t="s">
        <v>3</v>
      </c>
    </row>
    <row r="8" spans="1:8" s="15" customFormat="1" ht="20.25">
      <c r="A8" s="11"/>
      <c r="B8" s="12"/>
      <c r="C8" s="12"/>
      <c r="D8" s="13"/>
      <c r="E8" s="14"/>
      <c r="F8" s="16"/>
      <c r="G8" s="3"/>
      <c r="H8" s="4"/>
    </row>
    <row r="10" spans="1:8" s="19" customFormat="1" ht="20.25">
      <c r="A10" s="304" t="s">
        <v>4</v>
      </c>
      <c r="B10" s="304"/>
      <c r="C10" s="304"/>
      <c r="D10" s="304"/>
      <c r="E10" s="304"/>
      <c r="F10" s="304"/>
      <c r="G10" s="304"/>
      <c r="H10" s="304"/>
    </row>
    <row r="11" spans="1:8" s="19" customFormat="1" ht="20.25">
      <c r="A11" s="304" t="s">
        <v>750</v>
      </c>
      <c r="B11" s="304"/>
      <c r="C11" s="304"/>
      <c r="D11" s="304"/>
      <c r="E11" s="304"/>
      <c r="F11" s="304"/>
      <c r="G11" s="304"/>
      <c r="H11" s="304"/>
    </row>
    <row r="12" spans="1:8" s="19" customFormat="1" ht="20.25">
      <c r="A12" s="304" t="s">
        <v>754</v>
      </c>
      <c r="B12" s="304"/>
      <c r="C12" s="304"/>
      <c r="D12" s="304"/>
      <c r="E12" s="304"/>
      <c r="F12" s="304"/>
      <c r="G12" s="304"/>
      <c r="H12" s="304"/>
    </row>
    <row r="13" spans="1:8" s="19" customFormat="1" ht="20.25">
      <c r="A13" s="304" t="s">
        <v>5</v>
      </c>
      <c r="B13" s="304"/>
      <c r="C13" s="304"/>
      <c r="D13" s="304"/>
      <c r="E13" s="304"/>
      <c r="F13" s="304"/>
      <c r="G13" s="304"/>
      <c r="H13" s="304"/>
    </row>
    <row r="14" spans="1:8" s="19" customFormat="1" ht="21" thickBot="1">
      <c r="A14" s="20"/>
      <c r="B14" s="20"/>
      <c r="C14" s="20"/>
      <c r="D14" s="20"/>
      <c r="E14" s="20"/>
      <c r="F14" s="20"/>
      <c r="G14" s="20"/>
      <c r="H14" s="20"/>
    </row>
    <row r="15" spans="1:8" ht="31.5">
      <c r="A15" s="21" t="s">
        <v>6</v>
      </c>
      <c r="B15" s="22" t="s">
        <v>7</v>
      </c>
      <c r="C15" s="22" t="s">
        <v>8</v>
      </c>
      <c r="D15" s="22" t="s">
        <v>9</v>
      </c>
      <c r="E15" s="22" t="s">
        <v>10</v>
      </c>
      <c r="F15" s="22" t="s">
        <v>11</v>
      </c>
      <c r="G15" s="23" t="s">
        <v>12</v>
      </c>
      <c r="H15" s="24" t="s">
        <v>13</v>
      </c>
    </row>
    <row r="16" spans="1:8" s="5" customFormat="1" ht="15.75">
      <c r="A16" s="370" t="s">
        <v>14</v>
      </c>
      <c r="B16" s="27"/>
      <c r="C16" s="27"/>
      <c r="D16" s="27"/>
      <c r="E16" s="27"/>
      <c r="F16" s="27"/>
      <c r="G16" s="27"/>
      <c r="H16" s="28"/>
    </row>
    <row r="17" spans="1:8" s="5" customFormat="1" ht="15.75">
      <c r="A17" s="25" t="s">
        <v>15</v>
      </c>
      <c r="B17" s="26"/>
      <c r="C17" s="27" t="s">
        <v>16</v>
      </c>
      <c r="D17" s="27"/>
      <c r="E17" s="27"/>
      <c r="F17" s="27"/>
      <c r="G17" s="27"/>
      <c r="H17" s="28"/>
    </row>
    <row r="18" spans="1:8" s="5" customFormat="1" ht="15.75">
      <c r="A18" s="29" t="s">
        <v>17</v>
      </c>
      <c r="B18" s="30" t="s">
        <v>18</v>
      </c>
      <c r="C18" s="31" t="s">
        <v>19</v>
      </c>
      <c r="D18" s="32" t="s">
        <v>20</v>
      </c>
      <c r="E18" s="9" t="s">
        <v>21</v>
      </c>
      <c r="F18" s="33" t="s">
        <v>22</v>
      </c>
      <c r="G18" s="34"/>
      <c r="H18" s="371" t="s">
        <v>23</v>
      </c>
    </row>
    <row r="19" spans="1:8" s="5" customFormat="1" ht="15.75">
      <c r="A19" s="35"/>
      <c r="B19" s="36"/>
      <c r="C19" s="37"/>
      <c r="D19" s="38"/>
      <c r="E19" s="9" t="s">
        <v>24</v>
      </c>
      <c r="F19" s="33" t="s">
        <v>22</v>
      </c>
      <c r="G19" s="34"/>
      <c r="H19" s="372"/>
    </row>
    <row r="20" spans="1:8" s="5" customFormat="1" ht="15.75">
      <c r="A20" s="40"/>
      <c r="B20" s="41"/>
      <c r="C20" s="42"/>
      <c r="D20" s="43" t="s">
        <v>25</v>
      </c>
      <c r="E20" s="44"/>
      <c r="F20" s="33" t="s">
        <v>22</v>
      </c>
      <c r="G20" s="34"/>
      <c r="H20" s="373"/>
    </row>
    <row r="21" spans="1:8" s="5" customFormat="1" ht="15.75">
      <c r="A21" s="29" t="s">
        <v>26</v>
      </c>
      <c r="B21" s="30" t="s">
        <v>27</v>
      </c>
      <c r="C21" s="31" t="s">
        <v>28</v>
      </c>
      <c r="D21" s="32" t="s">
        <v>20</v>
      </c>
      <c r="E21" s="9" t="s">
        <v>21</v>
      </c>
      <c r="F21" s="33" t="s">
        <v>22</v>
      </c>
      <c r="G21" s="34"/>
      <c r="H21" s="371" t="s">
        <v>29</v>
      </c>
    </row>
    <row r="22" spans="1:8" s="5" customFormat="1" ht="15.75">
      <c r="A22" s="35"/>
      <c r="B22" s="36"/>
      <c r="C22" s="37"/>
      <c r="D22" s="38"/>
      <c r="E22" s="9" t="s">
        <v>24</v>
      </c>
      <c r="F22" s="33" t="s">
        <v>22</v>
      </c>
      <c r="G22" s="34"/>
      <c r="H22" s="372"/>
    </row>
    <row r="23" spans="1:8" s="5" customFormat="1" ht="15.75">
      <c r="A23" s="40"/>
      <c r="B23" s="41"/>
      <c r="C23" s="42"/>
      <c r="D23" s="43" t="s">
        <v>25</v>
      </c>
      <c r="E23" s="44"/>
      <c r="F23" s="33" t="s">
        <v>22</v>
      </c>
      <c r="G23" s="34"/>
      <c r="H23" s="373"/>
    </row>
    <row r="24" spans="1:8" s="5" customFormat="1" ht="15.75">
      <c r="A24" s="29" t="s">
        <v>30</v>
      </c>
      <c r="B24" s="30" t="s">
        <v>31</v>
      </c>
      <c r="C24" s="31" t="s">
        <v>32</v>
      </c>
      <c r="D24" s="32" t="s">
        <v>20</v>
      </c>
      <c r="E24" s="9" t="s">
        <v>21</v>
      </c>
      <c r="F24" s="33" t="s">
        <v>22</v>
      </c>
      <c r="G24" s="34"/>
      <c r="H24" s="371" t="s">
        <v>29</v>
      </c>
    </row>
    <row r="25" spans="1:8" s="5" customFormat="1" ht="15.75">
      <c r="A25" s="35"/>
      <c r="B25" s="36"/>
      <c r="C25" s="37"/>
      <c r="D25" s="38"/>
      <c r="E25" s="9" t="s">
        <v>24</v>
      </c>
      <c r="F25" s="33" t="s">
        <v>22</v>
      </c>
      <c r="G25" s="34"/>
      <c r="H25" s="372"/>
    </row>
    <row r="26" spans="1:8" s="5" customFormat="1" ht="15.75">
      <c r="A26" s="40"/>
      <c r="B26" s="41"/>
      <c r="C26" s="42"/>
      <c r="D26" s="193" t="s">
        <v>25</v>
      </c>
      <c r="E26" s="44"/>
      <c r="F26" s="33" t="s">
        <v>22</v>
      </c>
      <c r="G26" s="34"/>
      <c r="H26" s="373"/>
    </row>
    <row r="27" spans="1:8" s="5" customFormat="1" ht="15.75">
      <c r="A27" s="29" t="s">
        <v>33</v>
      </c>
      <c r="B27" s="30" t="s">
        <v>34</v>
      </c>
      <c r="C27" s="361" t="s">
        <v>35</v>
      </c>
      <c r="D27" s="362"/>
      <c r="E27" s="362"/>
      <c r="F27" s="362"/>
      <c r="G27" s="362"/>
      <c r="H27" s="363"/>
    </row>
    <row r="28" spans="1:8" s="5" customFormat="1" ht="15.75">
      <c r="A28" s="35"/>
      <c r="B28" s="36"/>
      <c r="C28" s="39" t="s">
        <v>36</v>
      </c>
      <c r="D28" s="287" t="s">
        <v>20</v>
      </c>
      <c r="E28" s="287" t="s">
        <v>21</v>
      </c>
      <c r="F28" s="364">
        <v>3620</v>
      </c>
      <c r="G28" s="364">
        <f>F28*1.2</f>
        <v>4344</v>
      </c>
      <c r="H28" s="429" t="s">
        <v>745</v>
      </c>
    </row>
    <row r="29" spans="1:8" s="5" customFormat="1" ht="15.75">
      <c r="A29" s="35"/>
      <c r="B29" s="36"/>
      <c r="C29" s="38"/>
      <c r="D29" s="9" t="s">
        <v>20</v>
      </c>
      <c r="E29" s="9" t="s">
        <v>24</v>
      </c>
      <c r="F29" s="276">
        <v>6055</v>
      </c>
      <c r="G29" s="364">
        <f aca="true" t="shared" si="0" ref="G29:G55">F29*1.2</f>
        <v>7266</v>
      </c>
      <c r="H29" s="548"/>
    </row>
    <row r="30" spans="1:8" s="5" customFormat="1" ht="15.75">
      <c r="A30" s="35"/>
      <c r="B30" s="36"/>
      <c r="C30" s="32" t="s">
        <v>37</v>
      </c>
      <c r="D30" s="9" t="s">
        <v>20</v>
      </c>
      <c r="E30" s="9" t="s">
        <v>21</v>
      </c>
      <c r="F30" s="276">
        <v>4362</v>
      </c>
      <c r="G30" s="364">
        <f t="shared" si="0"/>
        <v>5234.4</v>
      </c>
      <c r="H30" s="548"/>
    </row>
    <row r="31" spans="1:8" s="5" customFormat="1" ht="15.75">
      <c r="A31" s="35"/>
      <c r="B31" s="36"/>
      <c r="C31" s="38"/>
      <c r="D31" s="9" t="s">
        <v>20</v>
      </c>
      <c r="E31" s="9" t="s">
        <v>24</v>
      </c>
      <c r="F31" s="276">
        <v>6610</v>
      </c>
      <c r="G31" s="364">
        <f t="shared" si="0"/>
        <v>7932</v>
      </c>
      <c r="H31" s="548"/>
    </row>
    <row r="32" spans="1:8" s="5" customFormat="1" ht="15.75">
      <c r="A32" s="35"/>
      <c r="B32" s="36"/>
      <c r="C32" s="32" t="s">
        <v>38</v>
      </c>
      <c r="D32" s="9" t="s">
        <v>20</v>
      </c>
      <c r="E32" s="9" t="s">
        <v>21</v>
      </c>
      <c r="F32" s="276">
        <v>5217</v>
      </c>
      <c r="G32" s="364">
        <f t="shared" si="0"/>
        <v>6260.4</v>
      </c>
      <c r="H32" s="548"/>
    </row>
    <row r="33" spans="1:8" s="5" customFormat="1" ht="15.75">
      <c r="A33" s="35"/>
      <c r="B33" s="36"/>
      <c r="C33" s="38"/>
      <c r="D33" s="9" t="s">
        <v>20</v>
      </c>
      <c r="E33" s="9" t="s">
        <v>24</v>
      </c>
      <c r="F33" s="276">
        <v>7690</v>
      </c>
      <c r="G33" s="364">
        <f t="shared" si="0"/>
        <v>9228</v>
      </c>
      <c r="H33" s="548"/>
    </row>
    <row r="34" spans="1:8" s="5" customFormat="1" ht="15.75">
      <c r="A34" s="35"/>
      <c r="B34" s="36"/>
      <c r="C34" s="32" t="s">
        <v>39</v>
      </c>
      <c r="D34" s="9" t="s">
        <v>20</v>
      </c>
      <c r="E34" s="9" t="s">
        <v>21</v>
      </c>
      <c r="F34" s="276">
        <v>5422</v>
      </c>
      <c r="G34" s="364">
        <f t="shared" si="0"/>
        <v>6506.4</v>
      </c>
      <c r="H34" s="548"/>
    </row>
    <row r="35" spans="1:8" s="5" customFormat="1" ht="15.75">
      <c r="A35" s="35"/>
      <c r="B35" s="36"/>
      <c r="C35" s="38"/>
      <c r="D35" s="9" t="s">
        <v>20</v>
      </c>
      <c r="E35" s="9" t="s">
        <v>24</v>
      </c>
      <c r="F35" s="276">
        <v>8051</v>
      </c>
      <c r="G35" s="364">
        <f t="shared" si="0"/>
        <v>9661.199999999999</v>
      </c>
      <c r="H35" s="548"/>
    </row>
    <row r="36" spans="1:8" s="5" customFormat="1" ht="15.75">
      <c r="A36" s="35"/>
      <c r="B36" s="36"/>
      <c r="C36" s="32" t="s">
        <v>40</v>
      </c>
      <c r="D36" s="9" t="s">
        <v>20</v>
      </c>
      <c r="E36" s="9" t="s">
        <v>21</v>
      </c>
      <c r="F36" s="276">
        <v>6268</v>
      </c>
      <c r="G36" s="364">
        <f t="shared" si="0"/>
        <v>7521.599999999999</v>
      </c>
      <c r="H36" s="548"/>
    </row>
    <row r="37" spans="1:8" s="5" customFormat="1" ht="15.75">
      <c r="A37" s="35"/>
      <c r="B37" s="36"/>
      <c r="C37" s="38"/>
      <c r="D37" s="9" t="s">
        <v>20</v>
      </c>
      <c r="E37" s="9" t="s">
        <v>24</v>
      </c>
      <c r="F37" s="276">
        <v>8699</v>
      </c>
      <c r="G37" s="364">
        <f t="shared" si="0"/>
        <v>10438.8</v>
      </c>
      <c r="H37" s="548"/>
    </row>
    <row r="38" spans="1:8" s="5" customFormat="1" ht="15.75">
      <c r="A38" s="35"/>
      <c r="B38" s="36"/>
      <c r="C38" s="32" t="s">
        <v>41</v>
      </c>
      <c r="D38" s="9" t="s">
        <v>20</v>
      </c>
      <c r="E38" s="9" t="s">
        <v>21</v>
      </c>
      <c r="F38" s="276">
        <v>6301</v>
      </c>
      <c r="G38" s="364">
        <f t="shared" si="0"/>
        <v>7561.2</v>
      </c>
      <c r="H38" s="548"/>
    </row>
    <row r="39" spans="1:8" s="5" customFormat="1" ht="15.75">
      <c r="A39" s="35"/>
      <c r="B39" s="36"/>
      <c r="C39" s="38"/>
      <c r="D39" s="9" t="s">
        <v>20</v>
      </c>
      <c r="E39" s="9" t="s">
        <v>24</v>
      </c>
      <c r="F39" s="276">
        <v>9045</v>
      </c>
      <c r="G39" s="364">
        <f t="shared" si="0"/>
        <v>10854</v>
      </c>
      <c r="H39" s="548"/>
    </row>
    <row r="40" spans="1:8" s="5" customFormat="1" ht="15.75">
      <c r="A40" s="35"/>
      <c r="B40" s="36"/>
      <c r="C40" s="32" t="s">
        <v>42</v>
      </c>
      <c r="D40" s="9" t="s">
        <v>20</v>
      </c>
      <c r="E40" s="9" t="s">
        <v>21</v>
      </c>
      <c r="F40" s="276">
        <v>9732</v>
      </c>
      <c r="G40" s="364">
        <f t="shared" si="0"/>
        <v>11678.4</v>
      </c>
      <c r="H40" s="548"/>
    </row>
    <row r="41" spans="1:8" s="5" customFormat="1" ht="15.75">
      <c r="A41" s="35"/>
      <c r="B41" s="36"/>
      <c r="C41" s="38"/>
      <c r="D41" s="9" t="s">
        <v>20</v>
      </c>
      <c r="E41" s="9" t="s">
        <v>24</v>
      </c>
      <c r="F41" s="276">
        <v>13162</v>
      </c>
      <c r="G41" s="364">
        <f t="shared" si="0"/>
        <v>15794.4</v>
      </c>
      <c r="H41" s="548"/>
    </row>
    <row r="42" spans="1:8" s="5" customFormat="1" ht="15.75">
      <c r="A42" s="35"/>
      <c r="B42" s="36"/>
      <c r="C42" s="32" t="s">
        <v>43</v>
      </c>
      <c r="D42" s="9" t="s">
        <v>20</v>
      </c>
      <c r="E42" s="9" t="s">
        <v>21</v>
      </c>
      <c r="F42" s="276">
        <v>12500</v>
      </c>
      <c r="G42" s="364">
        <f t="shared" si="0"/>
        <v>15000</v>
      </c>
      <c r="H42" s="548"/>
    </row>
    <row r="43" spans="1:8" s="5" customFormat="1" ht="15.75">
      <c r="A43" s="35"/>
      <c r="B43" s="36"/>
      <c r="C43" s="38"/>
      <c r="D43" s="9" t="s">
        <v>20</v>
      </c>
      <c r="E43" s="9" t="s">
        <v>24</v>
      </c>
      <c r="F43" s="276">
        <v>14535</v>
      </c>
      <c r="G43" s="364">
        <f t="shared" si="0"/>
        <v>17442</v>
      </c>
      <c r="H43" s="548"/>
    </row>
    <row r="44" spans="1:8" s="5" customFormat="1" ht="15.75">
      <c r="A44" s="35"/>
      <c r="B44" s="36"/>
      <c r="C44" s="32" t="s">
        <v>44</v>
      </c>
      <c r="D44" s="9" t="s">
        <v>20</v>
      </c>
      <c r="E44" s="9" t="s">
        <v>21</v>
      </c>
      <c r="F44" s="276">
        <v>15000</v>
      </c>
      <c r="G44" s="364">
        <f t="shared" si="0"/>
        <v>18000</v>
      </c>
      <c r="H44" s="548"/>
    </row>
    <row r="45" spans="1:8" s="5" customFormat="1" ht="15.75">
      <c r="A45" s="35"/>
      <c r="B45" s="36"/>
      <c r="C45" s="38"/>
      <c r="D45" s="9" t="s">
        <v>20</v>
      </c>
      <c r="E45" s="9" t="s">
        <v>24</v>
      </c>
      <c r="F45" s="276">
        <v>18750</v>
      </c>
      <c r="G45" s="364">
        <f t="shared" si="0"/>
        <v>22500</v>
      </c>
      <c r="H45" s="548"/>
    </row>
    <row r="46" spans="1:8" s="5" customFormat="1" ht="15.75">
      <c r="A46" s="35"/>
      <c r="B46" s="36"/>
      <c r="C46" s="39" t="s">
        <v>45</v>
      </c>
      <c r="D46" s="9" t="s">
        <v>20</v>
      </c>
      <c r="E46" s="9" t="s">
        <v>21</v>
      </c>
      <c r="F46" s="276">
        <v>19558</v>
      </c>
      <c r="G46" s="364">
        <f t="shared" si="0"/>
        <v>23469.6</v>
      </c>
      <c r="H46" s="548"/>
    </row>
    <row r="47" spans="1:8" s="5" customFormat="1" ht="15.75">
      <c r="A47" s="35"/>
      <c r="B47" s="36"/>
      <c r="C47" s="38"/>
      <c r="D47" s="9" t="s">
        <v>20</v>
      </c>
      <c r="E47" s="9" t="s">
        <v>24</v>
      </c>
      <c r="F47" s="276">
        <v>24045</v>
      </c>
      <c r="G47" s="364">
        <f t="shared" si="0"/>
        <v>28854</v>
      </c>
      <c r="H47" s="548"/>
    </row>
    <row r="48" spans="1:8" s="5" customFormat="1" ht="15.75">
      <c r="A48" s="35"/>
      <c r="B48" s="36"/>
      <c r="C48" s="39" t="s">
        <v>46</v>
      </c>
      <c r="D48" s="9" t="s">
        <v>20</v>
      </c>
      <c r="E48" s="9" t="s">
        <v>21</v>
      </c>
      <c r="F48" s="276">
        <v>24827</v>
      </c>
      <c r="G48" s="364">
        <f t="shared" si="0"/>
        <v>29792.399999999998</v>
      </c>
      <c r="H48" s="548"/>
    </row>
    <row r="49" spans="1:8" s="5" customFormat="1" ht="15.75">
      <c r="A49" s="35"/>
      <c r="B49" s="36"/>
      <c r="C49" s="38"/>
      <c r="D49" s="9" t="s">
        <v>20</v>
      </c>
      <c r="E49" s="9" t="s">
        <v>24</v>
      </c>
      <c r="F49" s="276">
        <v>29631</v>
      </c>
      <c r="G49" s="364">
        <f t="shared" si="0"/>
        <v>35557.2</v>
      </c>
      <c r="H49" s="548"/>
    </row>
    <row r="50" spans="1:8" s="5" customFormat="1" ht="15.75">
      <c r="A50" s="35"/>
      <c r="B50" s="36"/>
      <c r="C50" s="32" t="s">
        <v>47</v>
      </c>
      <c r="D50" s="9" t="s">
        <v>20</v>
      </c>
      <c r="E50" s="9" t="s">
        <v>21</v>
      </c>
      <c r="F50" s="276">
        <v>30317</v>
      </c>
      <c r="G50" s="364">
        <f t="shared" si="0"/>
        <v>36380.4</v>
      </c>
      <c r="H50" s="548"/>
    </row>
    <row r="51" spans="1:8" s="5" customFormat="1" ht="15.75">
      <c r="A51" s="35"/>
      <c r="B51" s="36"/>
      <c r="C51" s="38"/>
      <c r="D51" s="9" t="s">
        <v>20</v>
      </c>
      <c r="E51" s="9" t="s">
        <v>24</v>
      </c>
      <c r="F51" s="276">
        <v>36493</v>
      </c>
      <c r="G51" s="364">
        <f t="shared" si="0"/>
        <v>43791.6</v>
      </c>
      <c r="H51" s="548"/>
    </row>
    <row r="52" spans="1:8" s="5" customFormat="1" ht="15.75">
      <c r="A52" s="35"/>
      <c r="B52" s="36"/>
      <c r="C52" s="32" t="s">
        <v>48</v>
      </c>
      <c r="D52" s="9" t="s">
        <v>20</v>
      </c>
      <c r="E52" s="9" t="s">
        <v>21</v>
      </c>
      <c r="F52" s="276">
        <v>36652</v>
      </c>
      <c r="G52" s="364">
        <f t="shared" si="0"/>
        <v>43982.4</v>
      </c>
      <c r="H52" s="548"/>
    </row>
    <row r="53" spans="1:8" s="5" customFormat="1" ht="15.75">
      <c r="A53" s="35"/>
      <c r="B53" s="36"/>
      <c r="C53" s="38"/>
      <c r="D53" s="9" t="s">
        <v>20</v>
      </c>
      <c r="E53" s="9" t="s">
        <v>24</v>
      </c>
      <c r="F53" s="276">
        <v>44556</v>
      </c>
      <c r="G53" s="364">
        <f t="shared" si="0"/>
        <v>53467.2</v>
      </c>
      <c r="H53" s="548"/>
    </row>
    <row r="54" spans="1:8" s="5" customFormat="1" ht="15.75">
      <c r="A54" s="35"/>
      <c r="B54" s="36"/>
      <c r="C54" s="32" t="s">
        <v>49</v>
      </c>
      <c r="D54" s="9" t="s">
        <v>20</v>
      </c>
      <c r="E54" s="9" t="s">
        <v>21</v>
      </c>
      <c r="F54" s="276">
        <v>32994</v>
      </c>
      <c r="G54" s="364">
        <f t="shared" si="0"/>
        <v>39592.799999999996</v>
      </c>
      <c r="H54" s="548"/>
    </row>
    <row r="55" spans="1:8" s="5" customFormat="1" ht="15.75">
      <c r="A55" s="40"/>
      <c r="B55" s="41"/>
      <c r="C55" s="38"/>
      <c r="D55" s="9" t="s">
        <v>20</v>
      </c>
      <c r="E55" s="9" t="s">
        <v>24</v>
      </c>
      <c r="F55" s="276">
        <v>39212</v>
      </c>
      <c r="G55" s="364">
        <f t="shared" si="0"/>
        <v>47054.4</v>
      </c>
      <c r="H55" s="434"/>
    </row>
    <row r="56" spans="1:8" s="5" customFormat="1" ht="15.75">
      <c r="A56" s="365" t="s">
        <v>50</v>
      </c>
      <c r="B56" s="328" t="s">
        <v>51</v>
      </c>
      <c r="C56" s="361" t="s">
        <v>52</v>
      </c>
      <c r="D56" s="362"/>
      <c r="E56" s="362"/>
      <c r="F56" s="362"/>
      <c r="G56" s="362"/>
      <c r="H56" s="363"/>
    </row>
    <row r="57" spans="1:8" s="5" customFormat="1" ht="15.75">
      <c r="A57" s="366"/>
      <c r="B57" s="213"/>
      <c r="C57" s="32" t="s">
        <v>53</v>
      </c>
      <c r="D57" s="32" t="s">
        <v>20</v>
      </c>
      <c r="E57" s="9" t="s">
        <v>21</v>
      </c>
      <c r="F57" s="367">
        <v>5654</v>
      </c>
      <c r="G57" s="364">
        <f>F57*1.2</f>
        <v>6784.8</v>
      </c>
      <c r="H57" s="427" t="s">
        <v>54</v>
      </c>
    </row>
    <row r="58" spans="1:8" s="5" customFormat="1" ht="15.75">
      <c r="A58" s="366"/>
      <c r="B58" s="213"/>
      <c r="C58" s="39"/>
      <c r="D58" s="39"/>
      <c r="E58" s="9" t="s">
        <v>21</v>
      </c>
      <c r="F58" s="276">
        <v>6244</v>
      </c>
      <c r="G58" s="364">
        <f aca="true" t="shared" si="1" ref="G58:G64">F58*1.2</f>
        <v>7492.799999999999</v>
      </c>
      <c r="H58" s="427" t="s">
        <v>55</v>
      </c>
    </row>
    <row r="59" spans="1:8" s="5" customFormat="1" ht="15.75">
      <c r="A59" s="366"/>
      <c r="B59" s="213"/>
      <c r="C59" s="38"/>
      <c r="D59" s="38"/>
      <c r="E59" s="9" t="s">
        <v>24</v>
      </c>
      <c r="F59" s="368">
        <v>6336</v>
      </c>
      <c r="G59" s="364">
        <f t="shared" si="1"/>
        <v>7603.2</v>
      </c>
      <c r="H59" s="308"/>
    </row>
    <row r="60" spans="1:8" s="5" customFormat="1" ht="15.75">
      <c r="A60" s="366"/>
      <c r="B60" s="213"/>
      <c r="C60" s="32" t="s">
        <v>56</v>
      </c>
      <c r="D60" s="32" t="s">
        <v>20</v>
      </c>
      <c r="E60" s="9" t="s">
        <v>21</v>
      </c>
      <c r="F60" s="276">
        <v>4238</v>
      </c>
      <c r="G60" s="364">
        <f t="shared" si="1"/>
        <v>5085.599999999999</v>
      </c>
      <c r="H60" s="427" t="s">
        <v>54</v>
      </c>
    </row>
    <row r="61" spans="1:8" s="5" customFormat="1" ht="15.75">
      <c r="A61" s="366"/>
      <c r="B61" s="213"/>
      <c r="C61" s="39"/>
      <c r="D61" s="39"/>
      <c r="E61" s="9" t="s">
        <v>21</v>
      </c>
      <c r="F61" s="276">
        <v>4828</v>
      </c>
      <c r="G61" s="364">
        <f t="shared" si="1"/>
        <v>5793.599999999999</v>
      </c>
      <c r="H61" s="427" t="s">
        <v>55</v>
      </c>
    </row>
    <row r="62" spans="1:8" s="5" customFormat="1" ht="15.75">
      <c r="A62" s="366"/>
      <c r="B62" s="213"/>
      <c r="C62" s="38"/>
      <c r="D62" s="38"/>
      <c r="E62" s="9" t="s">
        <v>24</v>
      </c>
      <c r="F62" s="276">
        <v>4828</v>
      </c>
      <c r="G62" s="364">
        <f t="shared" si="1"/>
        <v>5793.599999999999</v>
      </c>
      <c r="H62" s="308"/>
    </row>
    <row r="63" spans="1:8" s="5" customFormat="1" ht="15.75">
      <c r="A63" s="366"/>
      <c r="B63" s="213"/>
      <c r="C63" s="32" t="s">
        <v>56</v>
      </c>
      <c r="D63" s="32" t="s">
        <v>20</v>
      </c>
      <c r="E63" s="9" t="s">
        <v>21</v>
      </c>
      <c r="F63" s="276">
        <v>3916</v>
      </c>
      <c r="G63" s="364">
        <f t="shared" si="1"/>
        <v>4699.2</v>
      </c>
      <c r="H63" s="309" t="s">
        <v>57</v>
      </c>
    </row>
    <row r="64" spans="1:8" s="5" customFormat="1" ht="15.75">
      <c r="A64" s="369"/>
      <c r="B64" s="213"/>
      <c r="C64" s="38"/>
      <c r="D64" s="38"/>
      <c r="E64" s="9" t="s">
        <v>24</v>
      </c>
      <c r="F64" s="276">
        <v>4008</v>
      </c>
      <c r="G64" s="364">
        <f t="shared" si="1"/>
        <v>4809.599999999999</v>
      </c>
      <c r="H64" s="309" t="s">
        <v>57</v>
      </c>
    </row>
    <row r="65" spans="1:8" s="5" customFormat="1" ht="15.75">
      <c r="A65" s="370" t="s">
        <v>58</v>
      </c>
      <c r="B65" s="30" t="s">
        <v>59</v>
      </c>
      <c r="C65" s="32" t="s">
        <v>60</v>
      </c>
      <c r="D65" s="32" t="s">
        <v>20</v>
      </c>
      <c r="E65" s="9" t="s">
        <v>21</v>
      </c>
      <c r="F65" s="33" t="s">
        <v>22</v>
      </c>
      <c r="G65" s="34"/>
      <c r="H65" s="371"/>
    </row>
    <row r="66" spans="1:8" s="5" customFormat="1" ht="15.75">
      <c r="A66" s="370"/>
      <c r="B66" s="36"/>
      <c r="C66" s="39"/>
      <c r="D66" s="38"/>
      <c r="E66" s="285" t="s">
        <v>24</v>
      </c>
      <c r="F66" s="33" t="s">
        <v>22</v>
      </c>
      <c r="G66" s="34"/>
      <c r="H66" s="372"/>
    </row>
    <row r="67" spans="1:8" s="5" customFormat="1" ht="15.75">
      <c r="A67" s="370"/>
      <c r="B67" s="41"/>
      <c r="C67" s="38"/>
      <c r="D67" s="287" t="s">
        <v>25</v>
      </c>
      <c r="E67" s="9" t="s">
        <v>25</v>
      </c>
      <c r="F67" s="33" t="s">
        <v>22</v>
      </c>
      <c r="G67" s="34"/>
      <c r="H67" s="373"/>
    </row>
    <row r="68" spans="1:8" s="5" customFormat="1" ht="15.75">
      <c r="A68" s="549" t="s">
        <v>61</v>
      </c>
      <c r="B68" s="550"/>
      <c r="C68" s="550"/>
      <c r="D68" s="550"/>
      <c r="E68" s="550"/>
      <c r="F68" s="550"/>
      <c r="G68" s="550"/>
      <c r="H68" s="551"/>
    </row>
    <row r="69" spans="1:8" s="5" customFormat="1" ht="15.75">
      <c r="A69" s="25" t="s">
        <v>62</v>
      </c>
      <c r="B69" s="26"/>
      <c r="C69" s="361" t="s">
        <v>63</v>
      </c>
      <c r="D69" s="362"/>
      <c r="E69" s="362"/>
      <c r="F69" s="362"/>
      <c r="G69" s="362"/>
      <c r="H69" s="363"/>
    </row>
    <row r="70" spans="1:8" s="5" customFormat="1" ht="15.75">
      <c r="A70" s="365">
        <v>7</v>
      </c>
      <c r="B70" s="30" t="s">
        <v>64</v>
      </c>
      <c r="C70" s="32" t="s">
        <v>65</v>
      </c>
      <c r="D70" s="32" t="s">
        <v>20</v>
      </c>
      <c r="E70" s="194" t="s">
        <v>21</v>
      </c>
      <c r="F70" s="33" t="s">
        <v>22</v>
      </c>
      <c r="G70" s="34"/>
      <c r="H70" s="371"/>
    </row>
    <row r="71" spans="1:8" s="5" customFormat="1" ht="15.75">
      <c r="A71" s="366"/>
      <c r="B71" s="36"/>
      <c r="C71" s="39"/>
      <c r="D71" s="38"/>
      <c r="E71" s="194" t="s">
        <v>24</v>
      </c>
      <c r="F71" s="33" t="s">
        <v>22</v>
      </c>
      <c r="G71" s="34"/>
      <c r="H71" s="372"/>
    </row>
    <row r="72" spans="1:8" s="5" customFormat="1" ht="15.75">
      <c r="A72" s="366"/>
      <c r="B72" s="41"/>
      <c r="C72" s="38"/>
      <c r="D72" s="9" t="s">
        <v>25</v>
      </c>
      <c r="E72" s="44"/>
      <c r="F72" s="374" t="s">
        <v>22</v>
      </c>
      <c r="G72" s="375"/>
      <c r="H72" s="373"/>
    </row>
    <row r="73" spans="1:8" s="5" customFormat="1" ht="15.75">
      <c r="A73" s="365">
        <v>8</v>
      </c>
      <c r="B73" s="30" t="s">
        <v>66</v>
      </c>
      <c r="C73" s="32" t="s">
        <v>67</v>
      </c>
      <c r="D73" s="9" t="s">
        <v>68</v>
      </c>
      <c r="E73" s="376" t="s">
        <v>20</v>
      </c>
      <c r="F73" s="33" t="s">
        <v>22</v>
      </c>
      <c r="G73" s="34"/>
      <c r="H73" s="552" t="s">
        <v>69</v>
      </c>
    </row>
    <row r="74" spans="1:8" s="5" customFormat="1" ht="15.75">
      <c r="A74" s="366"/>
      <c r="B74" s="36"/>
      <c r="C74" s="39"/>
      <c r="D74" s="287" t="s">
        <v>70</v>
      </c>
      <c r="E74" s="376" t="s">
        <v>25</v>
      </c>
      <c r="F74" s="33" t="s">
        <v>22</v>
      </c>
      <c r="G74" s="34"/>
      <c r="H74" s="565"/>
    </row>
    <row r="75" spans="1:8" s="5" customFormat="1" ht="15.75">
      <c r="A75" s="366"/>
      <c r="B75" s="36"/>
      <c r="C75" s="39"/>
      <c r="D75" s="32" t="s">
        <v>68</v>
      </c>
      <c r="E75" s="194" t="s">
        <v>71</v>
      </c>
      <c r="F75" s="287" t="s">
        <v>72</v>
      </c>
      <c r="G75" s="377">
        <f aca="true" t="shared" si="2" ref="G75:G82">F75*1.2</f>
        <v>160.79999999999998</v>
      </c>
      <c r="H75" s="552" t="s">
        <v>73</v>
      </c>
    </row>
    <row r="76" spans="1:8" s="5" customFormat="1" ht="15.75">
      <c r="A76" s="366"/>
      <c r="B76" s="36"/>
      <c r="C76" s="39"/>
      <c r="D76" s="38"/>
      <c r="E76" s="194" t="s">
        <v>24</v>
      </c>
      <c r="F76" s="9" t="s">
        <v>74</v>
      </c>
      <c r="G76" s="377">
        <f t="shared" si="2"/>
        <v>277.2</v>
      </c>
      <c r="H76" s="565"/>
    </row>
    <row r="77" spans="1:8" s="5" customFormat="1" ht="15.75">
      <c r="A77" s="366"/>
      <c r="B77" s="36"/>
      <c r="C77" s="39"/>
      <c r="D77" s="32" t="s">
        <v>68</v>
      </c>
      <c r="E77" s="194" t="s">
        <v>71</v>
      </c>
      <c r="F77" s="222">
        <v>697</v>
      </c>
      <c r="G77" s="377">
        <f t="shared" si="2"/>
        <v>836.4</v>
      </c>
      <c r="H77" s="429" t="s">
        <v>75</v>
      </c>
    </row>
    <row r="78" spans="1:8" s="5" customFormat="1" ht="15.75">
      <c r="A78" s="366"/>
      <c r="B78" s="36"/>
      <c r="C78" s="39"/>
      <c r="D78" s="39"/>
      <c r="E78" s="194" t="s">
        <v>24</v>
      </c>
      <c r="F78" s="222">
        <v>1201</v>
      </c>
      <c r="G78" s="377">
        <f t="shared" si="2"/>
        <v>1441.2</v>
      </c>
      <c r="H78" s="434"/>
    </row>
    <row r="79" spans="1:8" s="5" customFormat="1" ht="15.75">
      <c r="A79" s="366"/>
      <c r="B79" s="36"/>
      <c r="C79" s="39"/>
      <c r="D79" s="32" t="s">
        <v>68</v>
      </c>
      <c r="E79" s="194" t="s">
        <v>76</v>
      </c>
      <c r="F79" s="222">
        <v>1045</v>
      </c>
      <c r="G79" s="377">
        <f t="shared" si="2"/>
        <v>1254</v>
      </c>
      <c r="H79" s="429" t="s">
        <v>77</v>
      </c>
    </row>
    <row r="80" spans="1:8" s="5" customFormat="1" ht="15.75">
      <c r="A80" s="366"/>
      <c r="B80" s="36"/>
      <c r="C80" s="39"/>
      <c r="D80" s="39"/>
      <c r="E80" s="194" t="s">
        <v>24</v>
      </c>
      <c r="F80" s="222">
        <v>1802</v>
      </c>
      <c r="G80" s="377">
        <f t="shared" si="2"/>
        <v>2162.4</v>
      </c>
      <c r="H80" s="434"/>
    </row>
    <row r="81" spans="1:8" s="5" customFormat="1" ht="15.75">
      <c r="A81" s="366"/>
      <c r="B81" s="36"/>
      <c r="C81" s="39"/>
      <c r="D81" s="39" t="s">
        <v>70</v>
      </c>
      <c r="E81" s="194" t="s">
        <v>25</v>
      </c>
      <c r="F81" s="222">
        <v>2112</v>
      </c>
      <c r="G81" s="377">
        <f t="shared" si="2"/>
        <v>2534.4</v>
      </c>
      <c r="H81" s="429" t="s">
        <v>78</v>
      </c>
    </row>
    <row r="82" spans="1:8" s="5" customFormat="1" ht="15.75">
      <c r="A82" s="369"/>
      <c r="B82" s="41"/>
      <c r="C82" s="38"/>
      <c r="D82" s="38"/>
      <c r="E82" s="194" t="s">
        <v>25</v>
      </c>
      <c r="F82" s="222">
        <v>3168</v>
      </c>
      <c r="G82" s="377">
        <f t="shared" si="2"/>
        <v>3801.6</v>
      </c>
      <c r="H82" s="434"/>
    </row>
    <row r="83" spans="1:8" s="5" customFormat="1" ht="15.75">
      <c r="A83" s="365">
        <v>9</v>
      </c>
      <c r="B83" s="30" t="s">
        <v>79</v>
      </c>
      <c r="C83" s="32" t="s">
        <v>80</v>
      </c>
      <c r="D83" s="32" t="s">
        <v>20</v>
      </c>
      <c r="E83" s="194" t="s">
        <v>21</v>
      </c>
      <c r="F83" s="33" t="s">
        <v>22</v>
      </c>
      <c r="G83" s="34"/>
      <c r="H83" s="371"/>
    </row>
    <row r="84" spans="1:8" s="5" customFormat="1" ht="15.75">
      <c r="A84" s="366"/>
      <c r="B84" s="36"/>
      <c r="C84" s="39"/>
      <c r="D84" s="38"/>
      <c r="E84" s="194" t="s">
        <v>24</v>
      </c>
      <c r="F84" s="33" t="s">
        <v>22</v>
      </c>
      <c r="G84" s="34"/>
      <c r="H84" s="372"/>
    </row>
    <row r="85" spans="1:8" s="5" customFormat="1" ht="15.75">
      <c r="A85" s="366"/>
      <c r="B85" s="41"/>
      <c r="C85" s="38"/>
      <c r="D85" s="287" t="s">
        <v>25</v>
      </c>
      <c r="E85" s="194"/>
      <c r="F85" s="33" t="s">
        <v>22</v>
      </c>
      <c r="G85" s="34"/>
      <c r="H85" s="373"/>
    </row>
    <row r="86" spans="1:8" s="5" customFormat="1" ht="15.75">
      <c r="A86" s="25" t="s">
        <v>81</v>
      </c>
      <c r="B86" s="26"/>
      <c r="C86" s="361" t="s">
        <v>82</v>
      </c>
      <c r="D86" s="362"/>
      <c r="E86" s="362"/>
      <c r="F86" s="362"/>
      <c r="G86" s="362"/>
      <c r="H86" s="363"/>
    </row>
    <row r="87" spans="1:8" s="313" customFormat="1" ht="15.75">
      <c r="A87" s="365">
        <v>10</v>
      </c>
      <c r="B87" s="378" t="s">
        <v>83</v>
      </c>
      <c r="C87" s="27" t="s">
        <v>84</v>
      </c>
      <c r="D87" s="27"/>
      <c r="E87" s="27"/>
      <c r="F87" s="27"/>
      <c r="G87" s="27"/>
      <c r="H87" s="379"/>
    </row>
    <row r="88" spans="1:8" s="313" customFormat="1" ht="63">
      <c r="A88" s="366"/>
      <c r="B88" s="380" t="s">
        <v>85</v>
      </c>
      <c r="C88" s="193" t="s">
        <v>86</v>
      </c>
      <c r="D88" s="315" t="s">
        <v>87</v>
      </c>
      <c r="E88" s="316" t="s">
        <v>21</v>
      </c>
      <c r="F88" s="194">
        <v>869</v>
      </c>
      <c r="G88" s="194">
        <f>F88*1.2</f>
        <v>1042.8</v>
      </c>
      <c r="H88" s="234" t="s">
        <v>88</v>
      </c>
    </row>
    <row r="89" spans="1:8" s="313" customFormat="1" ht="47.25">
      <c r="A89" s="366"/>
      <c r="B89" s="381"/>
      <c r="C89" s="193" t="s">
        <v>89</v>
      </c>
      <c r="D89" s="315"/>
      <c r="E89" s="316"/>
      <c r="F89" s="238">
        <v>1164</v>
      </c>
      <c r="G89" s="194">
        <f>F89*1.2</f>
        <v>1396.8</v>
      </c>
      <c r="H89" s="234" t="s">
        <v>90</v>
      </c>
    </row>
    <row r="90" spans="1:8" s="313" customFormat="1" ht="31.5">
      <c r="A90" s="366"/>
      <c r="B90" s="381"/>
      <c r="C90" s="193" t="s">
        <v>91</v>
      </c>
      <c r="D90" s="209" t="s">
        <v>87</v>
      </c>
      <c r="E90" s="194" t="s">
        <v>76</v>
      </c>
      <c r="F90" s="194">
        <v>708</v>
      </c>
      <c r="G90" s="194">
        <f>F90*1.2</f>
        <v>849.6</v>
      </c>
      <c r="H90" s="566"/>
    </row>
    <row r="91" spans="1:8" s="313" customFormat="1" ht="31.5">
      <c r="A91" s="366"/>
      <c r="B91" s="381"/>
      <c r="C91" s="193" t="s">
        <v>92</v>
      </c>
      <c r="D91" s="315" t="s">
        <v>87</v>
      </c>
      <c r="E91" s="316" t="s">
        <v>24</v>
      </c>
      <c r="F91" s="194">
        <v>1164</v>
      </c>
      <c r="G91" s="194">
        <f>F91*1.2</f>
        <v>1396.8</v>
      </c>
      <c r="H91" s="567"/>
    </row>
    <row r="92" spans="1:8" s="313" customFormat="1" ht="31.5">
      <c r="A92" s="369"/>
      <c r="B92" s="382"/>
      <c r="C92" s="193" t="s">
        <v>91</v>
      </c>
      <c r="D92" s="315"/>
      <c r="E92" s="316"/>
      <c r="F92" s="194">
        <v>754</v>
      </c>
      <c r="G92" s="194">
        <f>F92*1.2</f>
        <v>904.8</v>
      </c>
      <c r="H92" s="567"/>
    </row>
    <row r="93" spans="1:8" s="313" customFormat="1" ht="15.75">
      <c r="A93" s="365">
        <v>11</v>
      </c>
      <c r="B93" s="383" t="s">
        <v>93</v>
      </c>
      <c r="C93" s="384" t="s">
        <v>94</v>
      </c>
      <c r="D93" s="385"/>
      <c r="E93" s="385"/>
      <c r="F93" s="385"/>
      <c r="G93" s="386"/>
      <c r="H93" s="553"/>
    </row>
    <row r="94" spans="1:8" s="313" customFormat="1" ht="173.25">
      <c r="A94" s="366"/>
      <c r="B94" s="30"/>
      <c r="C94" s="317" t="s">
        <v>95</v>
      </c>
      <c r="D94" s="209" t="s">
        <v>96</v>
      </c>
      <c r="E94" s="194" t="s">
        <v>97</v>
      </c>
      <c r="F94" s="194">
        <v>227</v>
      </c>
      <c r="G94" s="194">
        <f aca="true" t="shared" si="3" ref="G94:G100">F94*1.2</f>
        <v>272.4</v>
      </c>
      <c r="H94" s="234" t="s">
        <v>747</v>
      </c>
    </row>
    <row r="95" spans="1:8" s="313" customFormat="1" ht="31.5">
      <c r="A95" s="366"/>
      <c r="B95" s="36"/>
      <c r="C95" s="317" t="s">
        <v>95</v>
      </c>
      <c r="D95" s="209" t="s">
        <v>96</v>
      </c>
      <c r="E95" s="387" t="s">
        <v>76</v>
      </c>
      <c r="F95" s="194">
        <v>216</v>
      </c>
      <c r="G95" s="194">
        <f t="shared" si="3"/>
        <v>259.2</v>
      </c>
      <c r="H95" s="234" t="s">
        <v>98</v>
      </c>
    </row>
    <row r="96" spans="1:8" s="313" customFormat="1" ht="15.75">
      <c r="A96" s="366"/>
      <c r="B96" s="36"/>
      <c r="C96" s="321" t="s">
        <v>99</v>
      </c>
      <c r="D96" s="210"/>
      <c r="E96" s="194" t="s">
        <v>100</v>
      </c>
      <c r="F96" s="194">
        <v>1129</v>
      </c>
      <c r="G96" s="387">
        <f>F96*1.2</f>
        <v>1354.8</v>
      </c>
      <c r="H96" s="519" t="s">
        <v>101</v>
      </c>
    </row>
    <row r="97" spans="1:8" s="318" customFormat="1" ht="15.75">
      <c r="A97" s="366"/>
      <c r="B97" s="36"/>
      <c r="C97" s="323"/>
      <c r="D97" s="211"/>
      <c r="E97" s="387" t="s">
        <v>21</v>
      </c>
      <c r="F97" s="194">
        <v>1946</v>
      </c>
      <c r="G97" s="364">
        <f t="shared" si="3"/>
        <v>2335.2</v>
      </c>
      <c r="H97" s="554"/>
    </row>
    <row r="98" spans="1:8" s="318" customFormat="1" ht="157.5">
      <c r="A98" s="366"/>
      <c r="B98" s="36"/>
      <c r="C98" s="317" t="s">
        <v>95</v>
      </c>
      <c r="D98" s="210" t="s">
        <v>96</v>
      </c>
      <c r="E98" s="311" t="s">
        <v>24</v>
      </c>
      <c r="F98" s="194">
        <v>340</v>
      </c>
      <c r="G98" s="195">
        <f t="shared" si="3"/>
        <v>408</v>
      </c>
      <c r="H98" s="234" t="s">
        <v>748</v>
      </c>
    </row>
    <row r="99" spans="1:8" s="318" customFormat="1" ht="31.5">
      <c r="A99" s="366"/>
      <c r="B99" s="36"/>
      <c r="C99" s="317" t="s">
        <v>95</v>
      </c>
      <c r="D99" s="221"/>
      <c r="E99" s="319"/>
      <c r="F99" s="194">
        <v>257</v>
      </c>
      <c r="G99" s="195">
        <f t="shared" si="3"/>
        <v>308.4</v>
      </c>
      <c r="H99" s="234" t="s">
        <v>102</v>
      </c>
    </row>
    <row r="100" spans="1:8" s="318" customFormat="1" ht="126">
      <c r="A100" s="366"/>
      <c r="B100" s="36"/>
      <c r="C100" s="317" t="s">
        <v>99</v>
      </c>
      <c r="D100" s="221"/>
      <c r="E100" s="319"/>
      <c r="F100" s="216">
        <v>3321</v>
      </c>
      <c r="G100" s="364">
        <f t="shared" si="3"/>
        <v>3985.2</v>
      </c>
      <c r="H100" s="234" t="s">
        <v>103</v>
      </c>
    </row>
    <row r="101" spans="1:8" s="318" customFormat="1" ht="31.5">
      <c r="A101" s="369"/>
      <c r="B101" s="41"/>
      <c r="C101" s="317" t="s">
        <v>104</v>
      </c>
      <c r="D101" s="209" t="s">
        <v>96</v>
      </c>
      <c r="E101" s="195" t="s">
        <v>105</v>
      </c>
      <c r="F101" s="388" t="s">
        <v>22</v>
      </c>
      <c r="G101" s="389"/>
      <c r="H101" s="234" t="s">
        <v>106</v>
      </c>
    </row>
    <row r="102" spans="1:8" s="318" customFormat="1" ht="15.75">
      <c r="A102" s="343">
        <v>12</v>
      </c>
      <c r="B102" s="30" t="s">
        <v>107</v>
      </c>
      <c r="C102" s="173" t="s">
        <v>108</v>
      </c>
      <c r="D102" s="317" t="s">
        <v>109</v>
      </c>
      <c r="E102" s="324"/>
      <c r="F102" s="194">
        <v>415</v>
      </c>
      <c r="G102" s="194">
        <f aca="true" t="shared" si="4" ref="G102:G107">F102*1.2</f>
        <v>498</v>
      </c>
      <c r="H102" s="325" t="s">
        <v>110</v>
      </c>
    </row>
    <row r="103" spans="1:8" s="318" customFormat="1" ht="15.75">
      <c r="A103" s="343"/>
      <c r="B103" s="41"/>
      <c r="C103" s="179"/>
      <c r="D103" s="317" t="s">
        <v>109</v>
      </c>
      <c r="E103" s="324"/>
      <c r="F103" s="194">
        <v>315</v>
      </c>
      <c r="G103" s="194">
        <f t="shared" si="4"/>
        <v>378</v>
      </c>
      <c r="H103" s="325" t="s">
        <v>111</v>
      </c>
    </row>
    <row r="104" spans="1:8" s="318" customFormat="1" ht="15.75">
      <c r="A104" s="390">
        <v>13</v>
      </c>
      <c r="B104" s="30" t="s">
        <v>112</v>
      </c>
      <c r="C104" s="173" t="s">
        <v>113</v>
      </c>
      <c r="D104" s="317" t="s">
        <v>109</v>
      </c>
      <c r="E104" s="391"/>
      <c r="F104" s="216">
        <v>2495</v>
      </c>
      <c r="G104" s="216">
        <f t="shared" si="4"/>
        <v>2994</v>
      </c>
      <c r="H104" s="392" t="s">
        <v>114</v>
      </c>
    </row>
    <row r="105" spans="1:8" s="318" customFormat="1" ht="15.75">
      <c r="A105" s="390"/>
      <c r="B105" s="36"/>
      <c r="C105" s="178"/>
      <c r="D105" s="225" t="s">
        <v>20</v>
      </c>
      <c r="E105" s="391" t="s">
        <v>76</v>
      </c>
      <c r="F105" s="216">
        <v>1816</v>
      </c>
      <c r="G105" s="216">
        <f t="shared" si="4"/>
        <v>2179.2</v>
      </c>
      <c r="H105" s="519" t="s">
        <v>746</v>
      </c>
    </row>
    <row r="106" spans="1:8" s="318" customFormat="1" ht="15.75">
      <c r="A106" s="393"/>
      <c r="B106" s="41"/>
      <c r="C106" s="178"/>
      <c r="D106" s="225" t="s">
        <v>20</v>
      </c>
      <c r="E106" s="391" t="s">
        <v>115</v>
      </c>
      <c r="F106" s="216">
        <v>1816</v>
      </c>
      <c r="G106" s="216">
        <f t="shared" si="4"/>
        <v>2179.2</v>
      </c>
      <c r="H106" s="554"/>
    </row>
    <row r="107" spans="1:8" s="318" customFormat="1" ht="15.75">
      <c r="A107" s="394">
        <v>14</v>
      </c>
      <c r="B107" s="30" t="s">
        <v>116</v>
      </c>
      <c r="C107" s="321" t="s">
        <v>117</v>
      </c>
      <c r="D107" s="321" t="s">
        <v>118</v>
      </c>
      <c r="E107" s="311"/>
      <c r="F107" s="395">
        <v>84</v>
      </c>
      <c r="G107" s="396">
        <f t="shared" si="4"/>
        <v>100.8</v>
      </c>
      <c r="H107" s="519"/>
    </row>
    <row r="108" spans="1:8" s="318" customFormat="1" ht="15.75">
      <c r="A108" s="393"/>
      <c r="B108" s="41"/>
      <c r="C108" s="323"/>
      <c r="D108" s="323"/>
      <c r="E108" s="312"/>
      <c r="F108" s="397"/>
      <c r="G108" s="398"/>
      <c r="H108" s="554"/>
    </row>
    <row r="109" spans="1:8" s="318" customFormat="1" ht="31.5">
      <c r="A109" s="399">
        <v>15</v>
      </c>
      <c r="B109" s="400" t="s">
        <v>119</v>
      </c>
      <c r="C109" s="186" t="s">
        <v>120</v>
      </c>
      <c r="D109" s="401" t="s">
        <v>20</v>
      </c>
      <c r="E109" s="194"/>
      <c r="F109" s="216">
        <v>1248</v>
      </c>
      <c r="G109" s="216">
        <f>F109*1.2</f>
        <v>1497.6</v>
      </c>
      <c r="H109" s="234" t="s">
        <v>121</v>
      </c>
    </row>
    <row r="110" spans="1:8" s="318" customFormat="1" ht="15.75">
      <c r="A110" s="394">
        <v>16</v>
      </c>
      <c r="B110" s="30" t="s">
        <v>122</v>
      </c>
      <c r="C110" s="173" t="s">
        <v>123</v>
      </c>
      <c r="D110" s="321" t="s">
        <v>20</v>
      </c>
      <c r="E110" s="194" t="s">
        <v>100</v>
      </c>
      <c r="F110" s="216">
        <v>905</v>
      </c>
      <c r="G110" s="216">
        <f>F110*1.2</f>
        <v>1086</v>
      </c>
      <c r="H110" s="519" t="s">
        <v>124</v>
      </c>
    </row>
    <row r="111" spans="1:8" s="318" customFormat="1" ht="15.75">
      <c r="A111" s="390"/>
      <c r="B111" s="36"/>
      <c r="C111" s="178"/>
      <c r="D111" s="335"/>
      <c r="E111" s="194" t="s">
        <v>21</v>
      </c>
      <c r="F111" s="216">
        <v>1701</v>
      </c>
      <c r="G111" s="216">
        <f>F111*1.2</f>
        <v>2041.1999999999998</v>
      </c>
      <c r="H111" s="521"/>
    </row>
    <row r="112" spans="1:8" s="318" customFormat="1" ht="15.75">
      <c r="A112" s="390"/>
      <c r="B112" s="36"/>
      <c r="C112" s="178"/>
      <c r="D112" s="323"/>
      <c r="E112" s="194" t="s">
        <v>24</v>
      </c>
      <c r="F112" s="216">
        <v>2136</v>
      </c>
      <c r="G112" s="216">
        <f>F112*1.2</f>
        <v>2563.2</v>
      </c>
      <c r="H112" s="554"/>
    </row>
    <row r="113" spans="1:8" s="318" customFormat="1" ht="31.5">
      <c r="A113" s="390"/>
      <c r="B113" s="36"/>
      <c r="C113" s="178"/>
      <c r="D113" s="401" t="s">
        <v>118</v>
      </c>
      <c r="E113" s="194"/>
      <c r="F113" s="216">
        <v>239</v>
      </c>
      <c r="G113" s="216">
        <f>F113*1.2</f>
        <v>286.8</v>
      </c>
      <c r="H113" s="234" t="s">
        <v>125</v>
      </c>
    </row>
    <row r="114" spans="1:8" s="318" customFormat="1" ht="15.75">
      <c r="A114" s="390"/>
      <c r="B114" s="36"/>
      <c r="C114" s="178"/>
      <c r="D114" s="174" t="s">
        <v>118</v>
      </c>
      <c r="E114" s="194"/>
      <c r="F114" s="555" t="s">
        <v>126</v>
      </c>
      <c r="G114" s="556"/>
      <c r="H114" s="234" t="s">
        <v>127</v>
      </c>
    </row>
    <row r="115" spans="1:8" s="318" customFormat="1" ht="78.75">
      <c r="A115" s="393"/>
      <c r="B115" s="41"/>
      <c r="C115" s="179"/>
      <c r="D115" s="174" t="s">
        <v>118</v>
      </c>
      <c r="E115" s="174"/>
      <c r="F115" s="555" t="s">
        <v>126</v>
      </c>
      <c r="G115" s="556"/>
      <c r="H115" s="234" t="s">
        <v>128</v>
      </c>
    </row>
    <row r="116" spans="1:8" s="318" customFormat="1" ht="15.75">
      <c r="A116" s="402" t="s">
        <v>129</v>
      </c>
      <c r="B116" s="403"/>
      <c r="C116" s="169" t="s">
        <v>130</v>
      </c>
      <c r="D116" s="170"/>
      <c r="E116" s="170"/>
      <c r="F116" s="170"/>
      <c r="G116" s="170"/>
      <c r="H116" s="171"/>
    </row>
    <row r="117" spans="1:8" s="318" customFormat="1" ht="15.75">
      <c r="A117" s="305" t="s">
        <v>131</v>
      </c>
      <c r="B117" s="306" t="s">
        <v>132</v>
      </c>
      <c r="C117" s="175" t="s">
        <v>133</v>
      </c>
      <c r="D117" s="173" t="s">
        <v>20</v>
      </c>
      <c r="E117" s="194" t="s">
        <v>21</v>
      </c>
      <c r="F117" s="404" t="s">
        <v>134</v>
      </c>
      <c r="G117" s="405"/>
      <c r="H117" s="406"/>
    </row>
    <row r="118" spans="1:8" s="318" customFormat="1" ht="15.75">
      <c r="A118" s="305"/>
      <c r="B118" s="306"/>
      <c r="C118" s="175"/>
      <c r="D118" s="179"/>
      <c r="E118" s="194" t="s">
        <v>24</v>
      </c>
      <c r="F118" s="407"/>
      <c r="G118" s="408"/>
      <c r="H118" s="409"/>
    </row>
    <row r="119" spans="1:8" s="318" customFormat="1" ht="15.75">
      <c r="A119" s="410" t="s">
        <v>135</v>
      </c>
      <c r="B119" s="383" t="s">
        <v>136</v>
      </c>
      <c r="C119" s="186" t="s">
        <v>137</v>
      </c>
      <c r="D119" s="186" t="s">
        <v>25</v>
      </c>
      <c r="E119" s="194"/>
      <c r="F119" s="411" t="s">
        <v>134</v>
      </c>
      <c r="G119" s="412"/>
      <c r="H119" s="237"/>
    </row>
    <row r="120" spans="1:8" s="318" customFormat="1" ht="15.75">
      <c r="A120" s="29" t="s">
        <v>138</v>
      </c>
      <c r="B120" s="30" t="s">
        <v>139</v>
      </c>
      <c r="C120" s="173" t="s">
        <v>140</v>
      </c>
      <c r="D120" s="173" t="s">
        <v>20</v>
      </c>
      <c r="E120" s="194" t="s">
        <v>21</v>
      </c>
      <c r="F120" s="404" t="s">
        <v>134</v>
      </c>
      <c r="G120" s="405"/>
      <c r="H120" s="519" t="s">
        <v>141</v>
      </c>
    </row>
    <row r="121" spans="1:8" s="318" customFormat="1" ht="15.75">
      <c r="A121" s="40"/>
      <c r="B121" s="41"/>
      <c r="C121" s="179"/>
      <c r="D121" s="179"/>
      <c r="E121" s="194" t="s">
        <v>24</v>
      </c>
      <c r="F121" s="407"/>
      <c r="G121" s="408"/>
      <c r="H121" s="554"/>
    </row>
    <row r="122" spans="1:8" s="318" customFormat="1" ht="15.75">
      <c r="A122" s="394">
        <v>20</v>
      </c>
      <c r="B122" s="30" t="s">
        <v>142</v>
      </c>
      <c r="C122" s="173" t="s">
        <v>143</v>
      </c>
      <c r="D122" s="321" t="s">
        <v>20</v>
      </c>
      <c r="E122" s="387" t="s">
        <v>21</v>
      </c>
      <c r="F122" s="404" t="s">
        <v>134</v>
      </c>
      <c r="G122" s="405"/>
      <c r="H122" s="519"/>
    </row>
    <row r="123" spans="1:8" s="318" customFormat="1" ht="15.75">
      <c r="A123" s="393"/>
      <c r="B123" s="41"/>
      <c r="C123" s="179"/>
      <c r="D123" s="323"/>
      <c r="E123" s="195" t="s">
        <v>24</v>
      </c>
      <c r="F123" s="407"/>
      <c r="G123" s="408"/>
      <c r="H123" s="554"/>
    </row>
    <row r="124" spans="1:8" s="318" customFormat="1" ht="47.25">
      <c r="A124" s="413">
        <v>21</v>
      </c>
      <c r="B124" s="328" t="s">
        <v>144</v>
      </c>
      <c r="C124" s="174" t="s">
        <v>145</v>
      </c>
      <c r="D124" s="317" t="s">
        <v>25</v>
      </c>
      <c r="E124" s="195"/>
      <c r="F124" s="411" t="s">
        <v>134</v>
      </c>
      <c r="G124" s="412"/>
      <c r="H124" s="557"/>
    </row>
    <row r="125" spans="1:8" s="318" customFormat="1" ht="31.5">
      <c r="A125" s="399">
        <v>22</v>
      </c>
      <c r="B125" s="400" t="s">
        <v>146</v>
      </c>
      <c r="C125" s="174" t="s">
        <v>147</v>
      </c>
      <c r="D125" s="317" t="s">
        <v>118</v>
      </c>
      <c r="E125" s="195"/>
      <c r="F125" s="214">
        <v>4214</v>
      </c>
      <c r="G125" s="214">
        <f>F125*1.2</f>
        <v>5056.8</v>
      </c>
      <c r="H125" s="234" t="s">
        <v>148</v>
      </c>
    </row>
    <row r="126" spans="1:8" s="318" customFormat="1" ht="31.5">
      <c r="A126" s="414">
        <v>23</v>
      </c>
      <c r="B126" s="415" t="s">
        <v>149</v>
      </c>
      <c r="C126" s="416" t="s">
        <v>150</v>
      </c>
      <c r="D126" s="174" t="s">
        <v>151</v>
      </c>
      <c r="E126" s="174" t="s">
        <v>152</v>
      </c>
      <c r="F126" s="238">
        <v>212</v>
      </c>
      <c r="G126" s="222">
        <f>F126*1.2</f>
        <v>254.39999999999998</v>
      </c>
      <c r="H126" s="237" t="s">
        <v>153</v>
      </c>
    </row>
    <row r="127" spans="1:8" s="318" customFormat="1" ht="47.25">
      <c r="A127" s="413">
        <v>24</v>
      </c>
      <c r="B127" s="328" t="s">
        <v>154</v>
      </c>
      <c r="C127" s="174" t="s">
        <v>155</v>
      </c>
      <c r="D127" s="317" t="s">
        <v>118</v>
      </c>
      <c r="E127" s="195"/>
      <c r="F127" s="214">
        <v>2181.91</v>
      </c>
      <c r="G127" s="417">
        <f>F127*1.2</f>
        <v>2618.292</v>
      </c>
      <c r="H127" s="234" t="s">
        <v>156</v>
      </c>
    </row>
    <row r="128" spans="1:8" s="318" customFormat="1" ht="15.75">
      <c r="A128" s="204" t="s">
        <v>157</v>
      </c>
      <c r="B128" s="205"/>
      <c r="C128" s="345" t="s">
        <v>158</v>
      </c>
      <c r="D128" s="346"/>
      <c r="E128" s="346"/>
      <c r="F128" s="346"/>
      <c r="G128" s="346"/>
      <c r="H128" s="347"/>
    </row>
    <row r="129" spans="1:8" s="318" customFormat="1" ht="15.75">
      <c r="A129" s="394">
        <v>25</v>
      </c>
      <c r="B129" s="30" t="s">
        <v>159</v>
      </c>
      <c r="C129" s="210" t="s">
        <v>160</v>
      </c>
      <c r="D129" s="31" t="s">
        <v>161</v>
      </c>
      <c r="E129" s="194" t="s">
        <v>21</v>
      </c>
      <c r="F129" s="214">
        <v>1194</v>
      </c>
      <c r="G129" s="214">
        <f>F129*1.2</f>
        <v>1432.8</v>
      </c>
      <c r="H129" s="429" t="s">
        <v>162</v>
      </c>
    </row>
    <row r="130" spans="1:8" s="318" customFormat="1" ht="15.75">
      <c r="A130" s="393"/>
      <c r="B130" s="41"/>
      <c r="C130" s="211"/>
      <c r="D130" s="42"/>
      <c r="E130" s="194" t="s">
        <v>24</v>
      </c>
      <c r="F130" s="214">
        <v>1194</v>
      </c>
      <c r="G130" s="214">
        <f>F130*1.2</f>
        <v>1432.8</v>
      </c>
      <c r="H130" s="434"/>
    </row>
    <row r="131" spans="1:8" s="318" customFormat="1" ht="79.5" thickBot="1">
      <c r="A131" s="418">
        <v>26</v>
      </c>
      <c r="B131" s="349" t="s">
        <v>163</v>
      </c>
      <c r="C131" s="242" t="s">
        <v>164</v>
      </c>
      <c r="D131" s="350" t="s">
        <v>161</v>
      </c>
      <c r="E131" s="351"/>
      <c r="F131" s="419">
        <v>506</v>
      </c>
      <c r="G131" s="280">
        <f>F131*1.2</f>
        <v>607.1999999999999</v>
      </c>
      <c r="H131" s="352" t="s">
        <v>165</v>
      </c>
    </row>
    <row r="132" spans="4:5" ht="15.75">
      <c r="D132" s="5"/>
      <c r="E132" s="5"/>
    </row>
    <row r="133" spans="1:8" ht="15.75">
      <c r="A133" s="558" t="s">
        <v>166</v>
      </c>
      <c r="B133" s="250"/>
      <c r="C133" s="252"/>
      <c r="D133" s="253"/>
      <c r="E133" s="250"/>
      <c r="F133" s="250"/>
      <c r="G133" s="559"/>
      <c r="H133" s="560"/>
    </row>
    <row r="134" spans="1:8" ht="15.75">
      <c r="A134" s="558"/>
      <c r="B134" s="250"/>
      <c r="C134" s="252"/>
      <c r="D134" s="253"/>
      <c r="E134" s="250"/>
      <c r="F134" s="250"/>
      <c r="G134" s="559"/>
      <c r="H134" s="560"/>
    </row>
    <row r="135" spans="1:8" ht="15.75">
      <c r="A135" s="558" t="s">
        <v>167</v>
      </c>
      <c r="B135" s="558"/>
      <c r="C135" s="558"/>
      <c r="D135" s="558"/>
      <c r="E135" s="561" t="s">
        <v>168</v>
      </c>
      <c r="F135" s="250"/>
      <c r="G135" s="446"/>
      <c r="H135" s="447"/>
    </row>
    <row r="136" spans="1:8" ht="15.75">
      <c r="A136" s="479"/>
      <c r="B136" s="250"/>
      <c r="C136" s="252"/>
      <c r="D136" s="253"/>
      <c r="E136" s="250"/>
      <c r="F136" s="250"/>
      <c r="G136" s="446"/>
      <c r="H136" s="447"/>
    </row>
    <row r="137" spans="1:8" ht="15.75">
      <c r="A137" s="558" t="s">
        <v>169</v>
      </c>
      <c r="B137" s="250"/>
      <c r="C137" s="252"/>
      <c r="D137" s="253"/>
      <c r="E137" s="561" t="s">
        <v>170</v>
      </c>
      <c r="F137" s="250"/>
      <c r="G137" s="446"/>
      <c r="H137" s="447"/>
    </row>
    <row r="138" spans="1:8" ht="15.75">
      <c r="A138" s="479"/>
      <c r="B138" s="250"/>
      <c r="C138" s="252"/>
      <c r="D138" s="253"/>
      <c r="E138" s="250"/>
      <c r="F138" s="250"/>
      <c r="G138" s="446"/>
      <c r="H138" s="447"/>
    </row>
    <row r="139" spans="1:8" ht="15.75">
      <c r="A139" s="558" t="s">
        <v>171</v>
      </c>
      <c r="B139" s="250"/>
      <c r="C139" s="252"/>
      <c r="D139" s="253"/>
      <c r="E139" s="561" t="s">
        <v>172</v>
      </c>
      <c r="F139" s="250"/>
      <c r="G139" s="562"/>
      <c r="H139" s="563"/>
    </row>
    <row r="140" spans="1:8" ht="15.75">
      <c r="A140" s="479"/>
      <c r="B140" s="250"/>
      <c r="C140" s="252"/>
      <c r="D140" s="253"/>
      <c r="E140" s="250"/>
      <c r="F140" s="250"/>
      <c r="G140" s="562"/>
      <c r="H140" s="563"/>
    </row>
    <row r="141" spans="1:8" ht="15.75">
      <c r="A141" s="558" t="s">
        <v>173</v>
      </c>
      <c r="B141" s="250"/>
      <c r="C141" s="252"/>
      <c r="D141" s="253"/>
      <c r="E141" s="561" t="s">
        <v>174</v>
      </c>
      <c r="F141" s="250"/>
      <c r="G141" s="359"/>
      <c r="H141" s="360"/>
    </row>
    <row r="142" spans="1:8" ht="15.75">
      <c r="A142" s="558"/>
      <c r="B142" s="250"/>
      <c r="C142" s="252"/>
      <c r="D142" s="253"/>
      <c r="E142" s="561"/>
      <c r="F142" s="250"/>
      <c r="G142" s="359"/>
      <c r="H142" s="360"/>
    </row>
    <row r="143" spans="1:8" ht="15.75">
      <c r="A143" s="564" t="s">
        <v>175</v>
      </c>
      <c r="B143" s="564"/>
      <c r="C143" s="564"/>
      <c r="D143" s="250"/>
      <c r="E143" s="563" t="s">
        <v>176</v>
      </c>
      <c r="F143" s="253"/>
      <c r="G143" s="562"/>
      <c r="H143" s="563"/>
    </row>
    <row r="144" spans="4:5" ht="15.75">
      <c r="D144" s="5"/>
      <c r="E144" s="5"/>
    </row>
  </sheetData>
  <sheetProtection/>
  <mergeCells count="170">
    <mergeCell ref="D96:D97"/>
    <mergeCell ref="A93:A101"/>
    <mergeCell ref="A143:C143"/>
    <mergeCell ref="C110:C115"/>
    <mergeCell ref="B110:B115"/>
    <mergeCell ref="A110:A115"/>
    <mergeCell ref="D110:D112"/>
    <mergeCell ref="H110:H112"/>
    <mergeCell ref="F124:G124"/>
    <mergeCell ref="A128:B128"/>
    <mergeCell ref="C128:H128"/>
    <mergeCell ref="A129:A130"/>
    <mergeCell ref="B129:B130"/>
    <mergeCell ref="C129:C130"/>
    <mergeCell ref="D129:D130"/>
    <mergeCell ref="H129:H130"/>
    <mergeCell ref="A122:A123"/>
    <mergeCell ref="B122:B123"/>
    <mergeCell ref="C122:C123"/>
    <mergeCell ref="D122:D123"/>
    <mergeCell ref="F122:G123"/>
    <mergeCell ref="H122:H123"/>
    <mergeCell ref="F119:G119"/>
    <mergeCell ref="A120:A121"/>
    <mergeCell ref="B120:B121"/>
    <mergeCell ref="C120:C121"/>
    <mergeCell ref="D120:D121"/>
    <mergeCell ref="F120:G121"/>
    <mergeCell ref="H120:H121"/>
    <mergeCell ref="F115:G115"/>
    <mergeCell ref="A116:B116"/>
    <mergeCell ref="C116:H116"/>
    <mergeCell ref="A117:A118"/>
    <mergeCell ref="B117:B118"/>
    <mergeCell ref="C117:C118"/>
    <mergeCell ref="D117:D118"/>
    <mergeCell ref="F117:G118"/>
    <mergeCell ref="H117:H118"/>
    <mergeCell ref="E107:E108"/>
    <mergeCell ref="F107:F108"/>
    <mergeCell ref="G107:G108"/>
    <mergeCell ref="H107:H108"/>
    <mergeCell ref="F114:G114"/>
    <mergeCell ref="A104:A106"/>
    <mergeCell ref="B104:B106"/>
    <mergeCell ref="C104:C106"/>
    <mergeCell ref="H105:H106"/>
    <mergeCell ref="A107:A108"/>
    <mergeCell ref="B107:B108"/>
    <mergeCell ref="C107:C108"/>
    <mergeCell ref="D107:D108"/>
    <mergeCell ref="D98:D100"/>
    <mergeCell ref="E98:E100"/>
    <mergeCell ref="F101:G101"/>
    <mergeCell ref="A102:A103"/>
    <mergeCell ref="B102:B103"/>
    <mergeCell ref="C102:C103"/>
    <mergeCell ref="D91:D92"/>
    <mergeCell ref="E91:E92"/>
    <mergeCell ref="C93:G93"/>
    <mergeCell ref="B94:B101"/>
    <mergeCell ref="C96:C97"/>
    <mergeCell ref="H96:H97"/>
    <mergeCell ref="A86:B86"/>
    <mergeCell ref="C86:H86"/>
    <mergeCell ref="A87:A92"/>
    <mergeCell ref="C87:G87"/>
    <mergeCell ref="B88:B92"/>
    <mergeCell ref="D88:D89"/>
    <mergeCell ref="E88:E89"/>
    <mergeCell ref="H81:H82"/>
    <mergeCell ref="A83:A85"/>
    <mergeCell ref="B83:B85"/>
    <mergeCell ref="C83:C85"/>
    <mergeCell ref="D83:D84"/>
    <mergeCell ref="F83:G83"/>
    <mergeCell ref="H83:H85"/>
    <mergeCell ref="F84:G84"/>
    <mergeCell ref="F85:G85"/>
    <mergeCell ref="D75:D76"/>
    <mergeCell ref="H75:H76"/>
    <mergeCell ref="D77:D78"/>
    <mergeCell ref="H77:H78"/>
    <mergeCell ref="D79:D80"/>
    <mergeCell ref="H79:H80"/>
    <mergeCell ref="D81:D82"/>
    <mergeCell ref="F71:G71"/>
    <mergeCell ref="F72:G72"/>
    <mergeCell ref="A73:A82"/>
    <mergeCell ref="B73:B82"/>
    <mergeCell ref="C73:C82"/>
    <mergeCell ref="F73:G73"/>
    <mergeCell ref="H73:H74"/>
    <mergeCell ref="F74:G74"/>
    <mergeCell ref="A70:A72"/>
    <mergeCell ref="B70:B72"/>
    <mergeCell ref="C70:C72"/>
    <mergeCell ref="D70:D71"/>
    <mergeCell ref="F70:G70"/>
    <mergeCell ref="H70:H72"/>
    <mergeCell ref="F66:G66"/>
    <mergeCell ref="F67:G67"/>
    <mergeCell ref="A68:H68"/>
    <mergeCell ref="A69:B69"/>
    <mergeCell ref="C69:H69"/>
    <mergeCell ref="A65:A67"/>
    <mergeCell ref="B65:B67"/>
    <mergeCell ref="C65:C67"/>
    <mergeCell ref="D65:D66"/>
    <mergeCell ref="F65:G65"/>
    <mergeCell ref="H65:H67"/>
    <mergeCell ref="C60:C62"/>
    <mergeCell ref="D60:D62"/>
    <mergeCell ref="C63:C64"/>
    <mergeCell ref="D63:D64"/>
    <mergeCell ref="C46:C47"/>
    <mergeCell ref="C48:C49"/>
    <mergeCell ref="C50:C51"/>
    <mergeCell ref="C52:C53"/>
    <mergeCell ref="C54:C55"/>
    <mergeCell ref="A56:A64"/>
    <mergeCell ref="C56:H56"/>
    <mergeCell ref="B57:B64"/>
    <mergeCell ref="C57:C59"/>
    <mergeCell ref="D57:D59"/>
    <mergeCell ref="C30:C31"/>
    <mergeCell ref="C32:C33"/>
    <mergeCell ref="C34:C35"/>
    <mergeCell ref="C36:C37"/>
    <mergeCell ref="C38:C39"/>
    <mergeCell ref="C40:C41"/>
    <mergeCell ref="C42:C43"/>
    <mergeCell ref="C44:C45"/>
    <mergeCell ref="H24:H26"/>
    <mergeCell ref="F25:G25"/>
    <mergeCell ref="F26:G26"/>
    <mergeCell ref="A27:A55"/>
    <mergeCell ref="B27:B55"/>
    <mergeCell ref="C27:H27"/>
    <mergeCell ref="C28:C29"/>
    <mergeCell ref="H28:H55"/>
    <mergeCell ref="F23:G23"/>
    <mergeCell ref="A24:A26"/>
    <mergeCell ref="B24:B26"/>
    <mergeCell ref="C24:C26"/>
    <mergeCell ref="D24:D25"/>
    <mergeCell ref="F24:G24"/>
    <mergeCell ref="F19:G19"/>
    <mergeCell ref="F20:G20"/>
    <mergeCell ref="A21:A23"/>
    <mergeCell ref="B21:B23"/>
    <mergeCell ref="C21:C23"/>
    <mergeCell ref="D21:D22"/>
    <mergeCell ref="F21:G21"/>
    <mergeCell ref="H21:H23"/>
    <mergeCell ref="F22:G22"/>
    <mergeCell ref="A16:H16"/>
    <mergeCell ref="A17:B17"/>
    <mergeCell ref="C17:H17"/>
    <mergeCell ref="A18:A20"/>
    <mergeCell ref="B18:B20"/>
    <mergeCell ref="C18:C20"/>
    <mergeCell ref="D18:D19"/>
    <mergeCell ref="F18:G18"/>
    <mergeCell ref="H18:H20"/>
    <mergeCell ref="A10:H10"/>
    <mergeCell ref="A11:H11"/>
    <mergeCell ref="A12:H12"/>
    <mergeCell ref="A13:H13"/>
    <mergeCell ref="A14:H14"/>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103"/>
  <sheetViews>
    <sheetView tabSelected="1" zoomScale="70" zoomScaleNormal="70" zoomScalePageLayoutView="0" workbookViewId="0" topLeftCell="A1">
      <selection activeCell="N41" sqref="N41"/>
    </sheetView>
  </sheetViews>
  <sheetFormatPr defaultColWidth="9.140625" defaultRowHeight="15"/>
  <cols>
    <col min="1" max="1" width="10.00390625" style="46" customWidth="1"/>
    <col min="2" max="2" width="16.57421875" style="46" customWidth="1"/>
    <col min="3" max="3" width="49.8515625" style="46" customWidth="1"/>
    <col min="4" max="4" width="18.421875" style="105" customWidth="1"/>
    <col min="5" max="5" width="18.421875" style="106" customWidth="1"/>
    <col min="6" max="6" width="18.421875" style="46" customWidth="1"/>
    <col min="7" max="7" width="18.421875" style="107" customWidth="1"/>
    <col min="8" max="8" width="92.28125" style="46" customWidth="1"/>
    <col min="9" max="16384" width="9.140625" style="108" customWidth="1"/>
  </cols>
  <sheetData>
    <row r="1" spans="1:8" s="117" customFormat="1" ht="15.75">
      <c r="A1" s="115"/>
      <c r="B1" s="116"/>
      <c r="C1" s="116"/>
      <c r="D1" s="265"/>
      <c r="E1" s="266"/>
      <c r="G1" s="118"/>
      <c r="H1" s="46"/>
    </row>
    <row r="2" spans="1:8" s="117" customFormat="1" ht="22.5" customHeight="1">
      <c r="A2" s="115"/>
      <c r="B2" s="116"/>
      <c r="C2" s="116"/>
      <c r="D2" s="265"/>
      <c r="E2" s="266"/>
      <c r="F2" s="119"/>
      <c r="H2" s="568" t="s">
        <v>0</v>
      </c>
    </row>
    <row r="3" spans="1:8" s="117" customFormat="1" ht="20.25" customHeight="1">
      <c r="A3" s="115"/>
      <c r="B3" s="116"/>
      <c r="C3" s="116"/>
      <c r="D3" s="265"/>
      <c r="E3" s="266"/>
      <c r="F3" s="119"/>
      <c r="H3" s="729" t="s">
        <v>1</v>
      </c>
    </row>
    <row r="4" spans="1:8" s="117" customFormat="1" ht="20.25" customHeight="1">
      <c r="A4" s="115"/>
      <c r="B4" s="116"/>
      <c r="C4" s="116"/>
      <c r="D4" s="265"/>
      <c r="E4" s="266"/>
      <c r="F4" s="119"/>
      <c r="H4" s="296" t="s">
        <v>2</v>
      </c>
    </row>
    <row r="5" spans="1:8" s="117" customFormat="1" ht="20.25">
      <c r="A5" s="115"/>
      <c r="B5" s="116"/>
      <c r="C5" s="116"/>
      <c r="D5" s="265"/>
      <c r="E5" s="266"/>
      <c r="F5" s="119"/>
      <c r="H5" s="730"/>
    </row>
    <row r="6" spans="1:8" s="117" customFormat="1" ht="20.25" customHeight="1">
      <c r="A6" s="115"/>
      <c r="B6" s="116"/>
      <c r="C6" s="116"/>
      <c r="D6" s="265"/>
      <c r="E6" s="266"/>
      <c r="F6" s="119"/>
      <c r="H6" s="295" t="s">
        <v>3</v>
      </c>
    </row>
    <row r="7" spans="1:8" s="117" customFormat="1" ht="20.25">
      <c r="A7" s="115"/>
      <c r="B7" s="116"/>
      <c r="C7" s="116"/>
      <c r="D7" s="265"/>
      <c r="E7" s="266"/>
      <c r="F7" s="119"/>
      <c r="G7" s="109"/>
      <c r="H7" s="299"/>
    </row>
    <row r="9" spans="1:8" ht="22.5">
      <c r="A9" s="731" t="s">
        <v>4</v>
      </c>
      <c r="B9" s="731"/>
      <c r="C9" s="731"/>
      <c r="D9" s="731"/>
      <c r="E9" s="731"/>
      <c r="F9" s="731"/>
      <c r="G9" s="731"/>
      <c r="H9" s="731"/>
    </row>
    <row r="10" spans="1:8" ht="22.5">
      <c r="A10" s="731" t="s">
        <v>752</v>
      </c>
      <c r="B10" s="731"/>
      <c r="C10" s="731"/>
      <c r="D10" s="731"/>
      <c r="E10" s="731"/>
      <c r="F10" s="731"/>
      <c r="G10" s="731"/>
      <c r="H10" s="731"/>
    </row>
    <row r="11" spans="1:8" s="120" customFormat="1" ht="22.5">
      <c r="A11" s="731" t="s">
        <v>753</v>
      </c>
      <c r="B11" s="731"/>
      <c r="C11" s="731"/>
      <c r="D11" s="731"/>
      <c r="E11" s="731"/>
      <c r="F11" s="731"/>
      <c r="G11" s="731"/>
      <c r="H11" s="731"/>
    </row>
    <row r="12" spans="1:8" s="120" customFormat="1" ht="22.5">
      <c r="A12" s="731" t="s">
        <v>5</v>
      </c>
      <c r="B12" s="731"/>
      <c r="C12" s="731"/>
      <c r="D12" s="731"/>
      <c r="E12" s="731"/>
      <c r="F12" s="731"/>
      <c r="G12" s="731"/>
      <c r="H12" s="731"/>
    </row>
    <row r="13" spans="1:8" s="120" customFormat="1" ht="21" thickBot="1">
      <c r="A13" s="110"/>
      <c r="B13" s="110"/>
      <c r="C13" s="110"/>
      <c r="D13" s="110"/>
      <c r="E13" s="110"/>
      <c r="F13" s="110"/>
      <c r="G13" s="110"/>
      <c r="H13" s="110"/>
    </row>
    <row r="14" spans="1:8" ht="47.25">
      <c r="A14" s="21" t="s">
        <v>6</v>
      </c>
      <c r="B14" s="22" t="s">
        <v>7</v>
      </c>
      <c r="C14" s="22" t="s">
        <v>8</v>
      </c>
      <c r="D14" s="22" t="s">
        <v>9</v>
      </c>
      <c r="E14" s="22" t="s">
        <v>10</v>
      </c>
      <c r="F14" s="22" t="s">
        <v>11</v>
      </c>
      <c r="G14" s="23" t="s">
        <v>12</v>
      </c>
      <c r="H14" s="24" t="s">
        <v>13</v>
      </c>
    </row>
    <row r="15" spans="1:8" s="46" customFormat="1" ht="15.75">
      <c r="A15" s="370" t="s">
        <v>14</v>
      </c>
      <c r="B15" s="27"/>
      <c r="C15" s="27"/>
      <c r="D15" s="27"/>
      <c r="E15" s="27"/>
      <c r="F15" s="27"/>
      <c r="G15" s="27"/>
      <c r="H15" s="28"/>
    </row>
    <row r="16" spans="1:8" s="46" customFormat="1" ht="15.75">
      <c r="A16" s="305" t="s">
        <v>15</v>
      </c>
      <c r="B16" s="306"/>
      <c r="C16" s="27" t="s">
        <v>177</v>
      </c>
      <c r="D16" s="27"/>
      <c r="E16" s="27"/>
      <c r="F16" s="27"/>
      <c r="G16" s="27"/>
      <c r="H16" s="28"/>
    </row>
    <row r="17" spans="1:8" s="46" customFormat="1" ht="15.75">
      <c r="A17" s="307" t="s">
        <v>17</v>
      </c>
      <c r="B17" s="306" t="s">
        <v>18</v>
      </c>
      <c r="C17" s="197" t="s">
        <v>19</v>
      </c>
      <c r="D17" s="213" t="s">
        <v>20</v>
      </c>
      <c r="E17" s="9" t="s">
        <v>21</v>
      </c>
      <c r="F17" s="213" t="s">
        <v>22</v>
      </c>
      <c r="G17" s="213"/>
      <c r="H17" s="277" t="s">
        <v>178</v>
      </c>
    </row>
    <row r="18" spans="1:8" s="46" customFormat="1" ht="15.75">
      <c r="A18" s="307"/>
      <c r="B18" s="306"/>
      <c r="C18" s="197"/>
      <c r="D18" s="213"/>
      <c r="E18" s="9" t="s">
        <v>24</v>
      </c>
      <c r="F18" s="213" t="s">
        <v>22</v>
      </c>
      <c r="G18" s="213"/>
      <c r="H18" s="277"/>
    </row>
    <row r="19" spans="1:8" s="46" customFormat="1" ht="15.75">
      <c r="A19" s="307"/>
      <c r="B19" s="306"/>
      <c r="C19" s="197"/>
      <c r="D19" s="193" t="s">
        <v>25</v>
      </c>
      <c r="E19" s="44"/>
      <c r="F19" s="213" t="s">
        <v>22</v>
      </c>
      <c r="G19" s="213"/>
      <c r="H19" s="277"/>
    </row>
    <row r="20" spans="1:8" s="46" customFormat="1" ht="15.75">
      <c r="A20" s="307" t="s">
        <v>26</v>
      </c>
      <c r="B20" s="306" t="s">
        <v>27</v>
      </c>
      <c r="C20" s="197" t="s">
        <v>28</v>
      </c>
      <c r="D20" s="213" t="s">
        <v>20</v>
      </c>
      <c r="E20" s="9" t="s">
        <v>21</v>
      </c>
      <c r="F20" s="213" t="s">
        <v>22</v>
      </c>
      <c r="G20" s="213"/>
      <c r="H20" s="277" t="s">
        <v>179</v>
      </c>
    </row>
    <row r="21" spans="1:8" s="46" customFormat="1" ht="15.75">
      <c r="A21" s="307"/>
      <c r="B21" s="306"/>
      <c r="C21" s="197"/>
      <c r="D21" s="213"/>
      <c r="E21" s="9" t="s">
        <v>24</v>
      </c>
      <c r="F21" s="213" t="s">
        <v>22</v>
      </c>
      <c r="G21" s="213"/>
      <c r="H21" s="277"/>
    </row>
    <row r="22" spans="1:8" s="46" customFormat="1" ht="15.75">
      <c r="A22" s="307"/>
      <c r="B22" s="306"/>
      <c r="C22" s="197"/>
      <c r="D22" s="193" t="s">
        <v>25</v>
      </c>
      <c r="E22" s="44"/>
      <c r="F22" s="213" t="s">
        <v>22</v>
      </c>
      <c r="G22" s="213"/>
      <c r="H22" s="277"/>
    </row>
    <row r="23" spans="1:8" s="46" customFormat="1" ht="15.75">
      <c r="A23" s="307" t="s">
        <v>30</v>
      </c>
      <c r="B23" s="306" t="s">
        <v>31</v>
      </c>
      <c r="C23" s="197" t="s">
        <v>32</v>
      </c>
      <c r="D23" s="213" t="s">
        <v>20</v>
      </c>
      <c r="E23" s="9" t="s">
        <v>21</v>
      </c>
      <c r="F23" s="213" t="s">
        <v>22</v>
      </c>
      <c r="G23" s="213"/>
      <c r="H23" s="277" t="s">
        <v>179</v>
      </c>
    </row>
    <row r="24" spans="1:8" s="46" customFormat="1" ht="15.75">
      <c r="A24" s="307"/>
      <c r="B24" s="306"/>
      <c r="C24" s="197"/>
      <c r="D24" s="213"/>
      <c r="E24" s="9" t="s">
        <v>24</v>
      </c>
      <c r="F24" s="213" t="s">
        <v>22</v>
      </c>
      <c r="G24" s="213"/>
      <c r="H24" s="277"/>
    </row>
    <row r="25" spans="1:8" s="46" customFormat="1" ht="15.75">
      <c r="A25" s="307"/>
      <c r="B25" s="306"/>
      <c r="C25" s="197"/>
      <c r="D25" s="193" t="s">
        <v>25</v>
      </c>
      <c r="E25" s="44"/>
      <c r="F25" s="213" t="s">
        <v>22</v>
      </c>
      <c r="G25" s="213"/>
      <c r="H25" s="277"/>
    </row>
    <row r="26" spans="1:8" s="46" customFormat="1" ht="15.75">
      <c r="A26" s="307" t="s">
        <v>33</v>
      </c>
      <c r="B26" s="306" t="s">
        <v>34</v>
      </c>
      <c r="C26" s="306" t="s">
        <v>35</v>
      </c>
      <c r="D26" s="306"/>
      <c r="E26" s="306"/>
      <c r="F26" s="306"/>
      <c r="G26" s="306"/>
      <c r="H26" s="310"/>
    </row>
    <row r="27" spans="1:8" s="46" customFormat="1" ht="15.75">
      <c r="A27" s="307"/>
      <c r="B27" s="306"/>
      <c r="C27" s="9" t="s">
        <v>256</v>
      </c>
      <c r="D27" s="9" t="s">
        <v>20</v>
      </c>
      <c r="E27" s="9" t="s">
        <v>627</v>
      </c>
      <c r="F27" s="276">
        <v>9569</v>
      </c>
      <c r="G27" s="276">
        <f aca="true" t="shared" si="0" ref="G27:G42">F27*1.2</f>
        <v>11482.8</v>
      </c>
      <c r="H27" s="591" t="s">
        <v>704</v>
      </c>
    </row>
    <row r="28" spans="1:8" s="46" customFormat="1" ht="15.75">
      <c r="A28" s="307"/>
      <c r="B28" s="306"/>
      <c r="C28" s="213" t="s">
        <v>181</v>
      </c>
      <c r="D28" s="9" t="s">
        <v>20</v>
      </c>
      <c r="E28" s="9" t="s">
        <v>21</v>
      </c>
      <c r="F28" s="276">
        <v>6899</v>
      </c>
      <c r="G28" s="276">
        <f t="shared" si="0"/>
        <v>8278.8</v>
      </c>
      <c r="H28" s="592"/>
    </row>
    <row r="29" spans="1:8" s="46" customFormat="1" ht="15.75">
      <c r="A29" s="307"/>
      <c r="B29" s="306"/>
      <c r="C29" s="213"/>
      <c r="D29" s="9" t="s">
        <v>20</v>
      </c>
      <c r="E29" s="9" t="s">
        <v>24</v>
      </c>
      <c r="F29" s="276">
        <v>11246</v>
      </c>
      <c r="G29" s="276">
        <f t="shared" si="0"/>
        <v>13495.199999999999</v>
      </c>
      <c r="H29" s="592"/>
    </row>
    <row r="30" spans="1:8" s="46" customFormat="1" ht="15.75">
      <c r="A30" s="307"/>
      <c r="B30" s="306"/>
      <c r="C30" s="9" t="s">
        <v>182</v>
      </c>
      <c r="D30" s="9" t="s">
        <v>20</v>
      </c>
      <c r="E30" s="9" t="s">
        <v>627</v>
      </c>
      <c r="F30" s="276">
        <v>11747</v>
      </c>
      <c r="G30" s="276">
        <f t="shared" si="0"/>
        <v>14096.4</v>
      </c>
      <c r="H30" s="592"/>
    </row>
    <row r="31" spans="1:8" s="46" customFormat="1" ht="15.75">
      <c r="A31" s="307"/>
      <c r="B31" s="306"/>
      <c r="C31" s="213" t="s">
        <v>39</v>
      </c>
      <c r="D31" s="9" t="s">
        <v>20</v>
      </c>
      <c r="E31" s="9" t="s">
        <v>21</v>
      </c>
      <c r="F31" s="276">
        <v>8473</v>
      </c>
      <c r="G31" s="276">
        <f t="shared" si="0"/>
        <v>10167.6</v>
      </c>
      <c r="H31" s="592"/>
    </row>
    <row r="32" spans="1:8" s="46" customFormat="1" ht="15.75">
      <c r="A32" s="307"/>
      <c r="B32" s="306"/>
      <c r="C32" s="213"/>
      <c r="D32" s="9" t="s">
        <v>20</v>
      </c>
      <c r="E32" s="9" t="s">
        <v>24</v>
      </c>
      <c r="F32" s="276">
        <v>12066</v>
      </c>
      <c r="G32" s="276">
        <f t="shared" si="0"/>
        <v>14479.199999999999</v>
      </c>
      <c r="H32" s="592"/>
    </row>
    <row r="33" spans="1:8" s="46" customFormat="1" ht="15.75">
      <c r="A33" s="307"/>
      <c r="B33" s="306"/>
      <c r="C33" s="9" t="s">
        <v>705</v>
      </c>
      <c r="D33" s="9" t="s">
        <v>20</v>
      </c>
      <c r="E33" s="9" t="s">
        <v>627</v>
      </c>
      <c r="F33" s="276">
        <v>14838</v>
      </c>
      <c r="G33" s="276">
        <f t="shared" si="0"/>
        <v>17805.6</v>
      </c>
      <c r="H33" s="592"/>
    </row>
    <row r="34" spans="1:8" s="46" customFormat="1" ht="15.75">
      <c r="A34" s="307"/>
      <c r="B34" s="306"/>
      <c r="C34" s="9" t="s">
        <v>706</v>
      </c>
      <c r="D34" s="9" t="s">
        <v>20</v>
      </c>
      <c r="E34" s="9" t="s">
        <v>627</v>
      </c>
      <c r="F34" s="276">
        <v>17364</v>
      </c>
      <c r="G34" s="276">
        <f t="shared" si="0"/>
        <v>20836.8</v>
      </c>
      <c r="H34" s="592"/>
    </row>
    <row r="35" spans="1:8" s="46" customFormat="1" ht="15.75">
      <c r="A35" s="307"/>
      <c r="B35" s="306"/>
      <c r="C35" s="9" t="s">
        <v>707</v>
      </c>
      <c r="D35" s="9" t="s">
        <v>20</v>
      </c>
      <c r="E35" s="9" t="s">
        <v>627</v>
      </c>
      <c r="F35" s="276">
        <v>21227</v>
      </c>
      <c r="G35" s="276">
        <f t="shared" si="0"/>
        <v>25472.399999999998</v>
      </c>
      <c r="H35" s="592"/>
    </row>
    <row r="36" spans="1:8" s="46" customFormat="1" ht="15.75">
      <c r="A36" s="307"/>
      <c r="B36" s="306"/>
      <c r="C36" s="9" t="s">
        <v>708</v>
      </c>
      <c r="D36" s="9" t="s">
        <v>20</v>
      </c>
      <c r="E36" s="9" t="s">
        <v>627</v>
      </c>
      <c r="F36" s="276">
        <v>28063</v>
      </c>
      <c r="G36" s="276">
        <f t="shared" si="0"/>
        <v>33675.6</v>
      </c>
      <c r="H36" s="592"/>
    </row>
    <row r="37" spans="1:8" s="46" customFormat="1" ht="15.75">
      <c r="A37" s="307"/>
      <c r="B37" s="306"/>
      <c r="C37" s="9" t="s">
        <v>709</v>
      </c>
      <c r="D37" s="9" t="s">
        <v>20</v>
      </c>
      <c r="E37" s="9" t="s">
        <v>627</v>
      </c>
      <c r="F37" s="276">
        <v>33471</v>
      </c>
      <c r="G37" s="276">
        <f t="shared" si="0"/>
        <v>40165.2</v>
      </c>
      <c r="H37" s="592"/>
    </row>
    <row r="38" spans="1:8" s="46" customFormat="1" ht="15.75">
      <c r="A38" s="307"/>
      <c r="B38" s="306"/>
      <c r="C38" s="9" t="s">
        <v>710</v>
      </c>
      <c r="D38" s="9" t="s">
        <v>20</v>
      </c>
      <c r="E38" s="9" t="s">
        <v>627</v>
      </c>
      <c r="F38" s="276">
        <v>36199</v>
      </c>
      <c r="G38" s="276">
        <f t="shared" si="0"/>
        <v>43438.799999999996</v>
      </c>
      <c r="H38" s="592"/>
    </row>
    <row r="39" spans="1:8" s="46" customFormat="1" ht="15.75">
      <c r="A39" s="307"/>
      <c r="B39" s="306"/>
      <c r="C39" s="9" t="s">
        <v>711</v>
      </c>
      <c r="D39" s="9" t="s">
        <v>20</v>
      </c>
      <c r="E39" s="9" t="s">
        <v>627</v>
      </c>
      <c r="F39" s="276">
        <v>36596</v>
      </c>
      <c r="G39" s="276">
        <f t="shared" si="0"/>
        <v>43915.2</v>
      </c>
      <c r="H39" s="592"/>
    </row>
    <row r="40" spans="1:8" s="46" customFormat="1" ht="15.75">
      <c r="A40" s="307"/>
      <c r="B40" s="306"/>
      <c r="C40" s="9" t="s">
        <v>712</v>
      </c>
      <c r="D40" s="9" t="s">
        <v>20</v>
      </c>
      <c r="E40" s="9" t="s">
        <v>627</v>
      </c>
      <c r="F40" s="276">
        <v>72573</v>
      </c>
      <c r="G40" s="276">
        <f t="shared" si="0"/>
        <v>87087.59999999999</v>
      </c>
      <c r="H40" s="592"/>
    </row>
    <row r="41" spans="1:8" s="46" customFormat="1" ht="15.75">
      <c r="A41" s="307"/>
      <c r="B41" s="306"/>
      <c r="C41" s="9" t="s">
        <v>713</v>
      </c>
      <c r="D41" s="9" t="s">
        <v>20</v>
      </c>
      <c r="E41" s="9" t="s">
        <v>627</v>
      </c>
      <c r="F41" s="276">
        <v>88892</v>
      </c>
      <c r="G41" s="276">
        <f t="shared" si="0"/>
        <v>106670.4</v>
      </c>
      <c r="H41" s="592"/>
    </row>
    <row r="42" spans="1:8" s="46" customFormat="1" ht="15.75">
      <c r="A42" s="307"/>
      <c r="B42" s="306"/>
      <c r="C42" s="9" t="s">
        <v>714</v>
      </c>
      <c r="D42" s="9" t="s">
        <v>20</v>
      </c>
      <c r="E42" s="9" t="s">
        <v>627</v>
      </c>
      <c r="F42" s="276">
        <v>94134</v>
      </c>
      <c r="G42" s="276">
        <f t="shared" si="0"/>
        <v>112960.8</v>
      </c>
      <c r="H42" s="592"/>
    </row>
    <row r="43" spans="1:8" s="46" customFormat="1" ht="15.75">
      <c r="A43" s="307"/>
      <c r="B43" s="306"/>
      <c r="C43" s="213" t="s">
        <v>203</v>
      </c>
      <c r="D43" s="9" t="s">
        <v>20</v>
      </c>
      <c r="E43" s="9" t="s">
        <v>21</v>
      </c>
      <c r="F43" s="276"/>
      <c r="G43" s="276">
        <f>F43*1.18</f>
        <v>0</v>
      </c>
      <c r="H43" s="592"/>
    </row>
    <row r="44" spans="1:8" s="46" customFormat="1" ht="15.75">
      <c r="A44" s="307"/>
      <c r="B44" s="306"/>
      <c r="C44" s="213"/>
      <c r="D44" s="9" t="s">
        <v>20</v>
      </c>
      <c r="E44" s="9" t="s">
        <v>24</v>
      </c>
      <c r="F44" s="276"/>
      <c r="G44" s="276">
        <f>F44*1.18</f>
        <v>0</v>
      </c>
      <c r="H44" s="592"/>
    </row>
    <row r="45" spans="1:8" s="46" customFormat="1" ht="31.5">
      <c r="A45" s="307"/>
      <c r="B45" s="306"/>
      <c r="C45" s="9" t="s">
        <v>715</v>
      </c>
      <c r="D45" s="9" t="s">
        <v>716</v>
      </c>
      <c r="E45" s="9" t="s">
        <v>627</v>
      </c>
      <c r="F45" s="276">
        <v>524</v>
      </c>
      <c r="G45" s="276">
        <f>F45*1.2</f>
        <v>628.8</v>
      </c>
      <c r="H45" s="592"/>
    </row>
    <row r="46" spans="1:8" s="46" customFormat="1" ht="15.75">
      <c r="A46" s="307" t="s">
        <v>50</v>
      </c>
      <c r="B46" s="306" t="s">
        <v>283</v>
      </c>
      <c r="C46" s="213" t="s">
        <v>53</v>
      </c>
      <c r="D46" s="213" t="s">
        <v>20</v>
      </c>
      <c r="E46" s="9" t="s">
        <v>21</v>
      </c>
      <c r="F46" s="214">
        <f>'[1]комплексы'!$E$17</f>
        <v>8222</v>
      </c>
      <c r="G46" s="214">
        <f>F46*1.2</f>
        <v>9866.4</v>
      </c>
      <c r="H46" s="427"/>
    </row>
    <row r="47" spans="1:8" s="46" customFormat="1" ht="15.75">
      <c r="A47" s="307"/>
      <c r="B47" s="725"/>
      <c r="C47" s="213"/>
      <c r="D47" s="213"/>
      <c r="E47" s="9" t="s">
        <v>24</v>
      </c>
      <c r="F47" s="214">
        <f>'[1]комплексы'!$E$24</f>
        <v>11142</v>
      </c>
      <c r="G47" s="214">
        <f>F47*1.2</f>
        <v>13370.4</v>
      </c>
      <c r="H47" s="427"/>
    </row>
    <row r="48" spans="1:8" s="46" customFormat="1" ht="15.75">
      <c r="A48" s="307"/>
      <c r="B48" s="725"/>
      <c r="C48" s="213" t="s">
        <v>56</v>
      </c>
      <c r="D48" s="213" t="s">
        <v>20</v>
      </c>
      <c r="E48" s="9" t="s">
        <v>21</v>
      </c>
      <c r="F48" s="214">
        <f>'[1]комплексы'!$E$30</f>
        <v>5676</v>
      </c>
      <c r="G48" s="214">
        <f>F48*1.2</f>
        <v>6811.2</v>
      </c>
      <c r="H48" s="427"/>
    </row>
    <row r="49" spans="1:8" s="46" customFormat="1" ht="15.75">
      <c r="A49" s="307"/>
      <c r="B49" s="725"/>
      <c r="C49" s="213"/>
      <c r="D49" s="213"/>
      <c r="E49" s="9" t="s">
        <v>24</v>
      </c>
      <c r="F49" s="214">
        <f>'[1]комплексы'!$E$36</f>
        <v>7136</v>
      </c>
      <c r="G49" s="214">
        <f>F49*1.2</f>
        <v>8563.199999999999</v>
      </c>
      <c r="H49" s="427"/>
    </row>
    <row r="50" spans="1:8" s="46" customFormat="1" ht="15.75">
      <c r="A50" s="307" t="s">
        <v>58</v>
      </c>
      <c r="B50" s="306" t="s">
        <v>59</v>
      </c>
      <c r="C50" s="213" t="s">
        <v>60</v>
      </c>
      <c r="D50" s="213" t="s">
        <v>20</v>
      </c>
      <c r="E50" s="9" t="s">
        <v>21</v>
      </c>
      <c r="F50" s="213" t="s">
        <v>22</v>
      </c>
      <c r="G50" s="213"/>
      <c r="H50" s="277"/>
    </row>
    <row r="51" spans="1:8" s="46" customFormat="1" ht="15.75">
      <c r="A51" s="307"/>
      <c r="B51" s="306"/>
      <c r="C51" s="213"/>
      <c r="D51" s="213"/>
      <c r="E51" s="9" t="s">
        <v>24</v>
      </c>
      <c r="F51" s="213" t="s">
        <v>22</v>
      </c>
      <c r="G51" s="213"/>
      <c r="H51" s="277"/>
    </row>
    <row r="52" spans="1:8" s="46" customFormat="1" ht="15.75">
      <c r="A52" s="307"/>
      <c r="B52" s="306"/>
      <c r="C52" s="213"/>
      <c r="D52" s="9" t="s">
        <v>25</v>
      </c>
      <c r="E52" s="9" t="s">
        <v>25</v>
      </c>
      <c r="F52" s="213" t="s">
        <v>22</v>
      </c>
      <c r="G52" s="213"/>
      <c r="H52" s="277"/>
    </row>
    <row r="53" spans="1:8" s="46" customFormat="1" ht="15.75">
      <c r="A53" s="305" t="s">
        <v>61</v>
      </c>
      <c r="B53" s="306"/>
      <c r="C53" s="306"/>
      <c r="D53" s="306"/>
      <c r="E53" s="306"/>
      <c r="F53" s="306"/>
      <c r="G53" s="306"/>
      <c r="H53" s="310"/>
    </row>
    <row r="54" spans="1:8" s="46" customFormat="1" ht="15.75">
      <c r="A54" s="305" t="s">
        <v>62</v>
      </c>
      <c r="B54" s="306"/>
      <c r="C54" s="306" t="s">
        <v>63</v>
      </c>
      <c r="D54" s="306"/>
      <c r="E54" s="306"/>
      <c r="F54" s="306"/>
      <c r="G54" s="306"/>
      <c r="H54" s="310"/>
    </row>
    <row r="55" spans="1:8" s="46" customFormat="1" ht="15.75">
      <c r="A55" s="307" t="s">
        <v>206</v>
      </c>
      <c r="B55" s="306" t="s">
        <v>66</v>
      </c>
      <c r="C55" s="213" t="s">
        <v>67</v>
      </c>
      <c r="D55" s="213" t="s">
        <v>20</v>
      </c>
      <c r="E55" s="9" t="s">
        <v>21</v>
      </c>
      <c r="F55" s="213" t="s">
        <v>22</v>
      </c>
      <c r="G55" s="213"/>
      <c r="H55" s="277" t="s">
        <v>717</v>
      </c>
    </row>
    <row r="56" spans="1:8" s="46" customFormat="1" ht="15.75">
      <c r="A56" s="307"/>
      <c r="B56" s="306"/>
      <c r="C56" s="213"/>
      <c r="D56" s="213"/>
      <c r="E56" s="9" t="s">
        <v>24</v>
      </c>
      <c r="F56" s="213" t="s">
        <v>22</v>
      </c>
      <c r="G56" s="213"/>
      <c r="H56" s="277"/>
    </row>
    <row r="57" spans="1:8" s="46" customFormat="1" ht="15.75">
      <c r="A57" s="307"/>
      <c r="B57" s="306"/>
      <c r="C57" s="213"/>
      <c r="D57" s="9" t="s">
        <v>25</v>
      </c>
      <c r="E57" s="9" t="s">
        <v>25</v>
      </c>
      <c r="F57" s="213" t="s">
        <v>22</v>
      </c>
      <c r="G57" s="213"/>
      <c r="H57" s="277"/>
    </row>
    <row r="58" spans="1:8" s="46" customFormat="1" ht="15.75">
      <c r="A58" s="307"/>
      <c r="B58" s="306"/>
      <c r="C58" s="213"/>
      <c r="D58" s="213" t="s">
        <v>605</v>
      </c>
      <c r="E58" s="194" t="s">
        <v>71</v>
      </c>
      <c r="F58" s="214">
        <v>134</v>
      </c>
      <c r="G58" s="195">
        <f aca="true" t="shared" si="1" ref="G58:G65">F58*1.2</f>
        <v>160.79999999999998</v>
      </c>
      <c r="H58" s="592" t="s">
        <v>73</v>
      </c>
    </row>
    <row r="59" spans="1:8" s="46" customFormat="1" ht="15.75">
      <c r="A59" s="307"/>
      <c r="B59" s="306"/>
      <c r="C59" s="213"/>
      <c r="D59" s="213"/>
      <c r="E59" s="194" t="s">
        <v>24</v>
      </c>
      <c r="F59" s="9" t="s">
        <v>74</v>
      </c>
      <c r="G59" s="195">
        <f t="shared" si="1"/>
        <v>277.2</v>
      </c>
      <c r="H59" s="592"/>
    </row>
    <row r="60" spans="1:8" s="46" customFormat="1" ht="15.75">
      <c r="A60" s="307"/>
      <c r="B60" s="306"/>
      <c r="C60" s="213"/>
      <c r="D60" s="213" t="s">
        <v>605</v>
      </c>
      <c r="E60" s="194" t="s">
        <v>71</v>
      </c>
      <c r="F60" s="214">
        <v>697</v>
      </c>
      <c r="G60" s="195">
        <f t="shared" si="1"/>
        <v>836.4</v>
      </c>
      <c r="H60" s="592" t="s">
        <v>75</v>
      </c>
    </row>
    <row r="61" spans="1:8" s="46" customFormat="1" ht="15.75">
      <c r="A61" s="307"/>
      <c r="B61" s="306"/>
      <c r="C61" s="213"/>
      <c r="D61" s="213"/>
      <c r="E61" s="194" t="s">
        <v>24</v>
      </c>
      <c r="F61" s="9" t="s">
        <v>718</v>
      </c>
      <c r="G61" s="195">
        <f t="shared" si="1"/>
        <v>1441.2</v>
      </c>
      <c r="H61" s="277"/>
    </row>
    <row r="62" spans="1:8" s="46" customFormat="1" ht="15.75">
      <c r="A62" s="307"/>
      <c r="B62" s="306"/>
      <c r="C62" s="213"/>
      <c r="D62" s="213" t="s">
        <v>605</v>
      </c>
      <c r="E62" s="194" t="s">
        <v>71</v>
      </c>
      <c r="F62" s="214">
        <v>1045</v>
      </c>
      <c r="G62" s="195">
        <f t="shared" si="1"/>
        <v>1254</v>
      </c>
      <c r="H62" s="591" t="s">
        <v>77</v>
      </c>
    </row>
    <row r="63" spans="1:8" s="46" customFormat="1" ht="15.75">
      <c r="A63" s="307"/>
      <c r="B63" s="306"/>
      <c r="C63" s="213"/>
      <c r="D63" s="213"/>
      <c r="E63" s="194" t="s">
        <v>24</v>
      </c>
      <c r="F63" s="9" t="s">
        <v>719</v>
      </c>
      <c r="G63" s="195">
        <f t="shared" si="1"/>
        <v>2162.4</v>
      </c>
      <c r="H63" s="591"/>
    </row>
    <row r="64" spans="1:8" s="46" customFormat="1" ht="63">
      <c r="A64" s="307"/>
      <c r="B64" s="306"/>
      <c r="C64" s="213"/>
      <c r="D64" s="213" t="s">
        <v>720</v>
      </c>
      <c r="E64" s="194" t="s">
        <v>25</v>
      </c>
      <c r="F64" s="216">
        <v>2112</v>
      </c>
      <c r="G64" s="216">
        <f t="shared" si="1"/>
        <v>2534.4</v>
      </c>
      <c r="H64" s="234" t="s">
        <v>211</v>
      </c>
    </row>
    <row r="65" spans="1:8" s="46" customFormat="1" ht="63">
      <c r="A65" s="307"/>
      <c r="B65" s="306"/>
      <c r="C65" s="213"/>
      <c r="D65" s="213"/>
      <c r="E65" s="194" t="s">
        <v>25</v>
      </c>
      <c r="F65" s="216">
        <v>3168</v>
      </c>
      <c r="G65" s="216">
        <f t="shared" si="1"/>
        <v>3801.6</v>
      </c>
      <c r="H65" s="234" t="s">
        <v>212</v>
      </c>
    </row>
    <row r="66" spans="1:8" s="46" customFormat="1" ht="15.75">
      <c r="A66" s="305" t="s">
        <v>81</v>
      </c>
      <c r="B66" s="306"/>
      <c r="C66" s="306" t="s">
        <v>82</v>
      </c>
      <c r="D66" s="306"/>
      <c r="E66" s="306"/>
      <c r="F66" s="306"/>
      <c r="G66" s="306"/>
      <c r="H66" s="310"/>
    </row>
    <row r="67" spans="1:8" s="71" customFormat="1" ht="15.75">
      <c r="A67" s="654">
        <v>8</v>
      </c>
      <c r="B67" s="27" t="s">
        <v>83</v>
      </c>
      <c r="C67" s="197" t="s">
        <v>721</v>
      </c>
      <c r="D67" s="315" t="s">
        <v>87</v>
      </c>
      <c r="E67" s="194" t="s">
        <v>21</v>
      </c>
      <c r="F67" s="216">
        <v>1273</v>
      </c>
      <c r="G67" s="216">
        <f>F67*1.2</f>
        <v>1527.6</v>
      </c>
      <c r="H67" s="591" t="s">
        <v>722</v>
      </c>
    </row>
    <row r="68" spans="1:8" s="71" customFormat="1" ht="15.75">
      <c r="A68" s="654"/>
      <c r="B68" s="27"/>
      <c r="C68" s="197"/>
      <c r="D68" s="315"/>
      <c r="E68" s="194" t="s">
        <v>24</v>
      </c>
      <c r="F68" s="216">
        <v>2003</v>
      </c>
      <c r="G68" s="216">
        <f>F68*1.2</f>
        <v>2403.6</v>
      </c>
      <c r="H68" s="591"/>
    </row>
    <row r="69" spans="1:8" s="71" customFormat="1" ht="15.75">
      <c r="A69" s="654">
        <v>9</v>
      </c>
      <c r="B69" s="306" t="s">
        <v>93</v>
      </c>
      <c r="C69" s="27" t="s">
        <v>94</v>
      </c>
      <c r="D69" s="27"/>
      <c r="E69" s="27"/>
      <c r="F69" s="27"/>
      <c r="G69" s="27"/>
      <c r="H69" s="28"/>
    </row>
    <row r="70" spans="1:8" s="71" customFormat="1" ht="15.75">
      <c r="A70" s="654"/>
      <c r="B70" s="306"/>
      <c r="C70" s="326" t="s">
        <v>723</v>
      </c>
      <c r="D70" s="315" t="s">
        <v>96</v>
      </c>
      <c r="E70" s="194" t="s">
        <v>21</v>
      </c>
      <c r="F70" s="194">
        <v>214</v>
      </c>
      <c r="G70" s="194">
        <f aca="true" t="shared" si="2" ref="G70:G81">F70*1.2</f>
        <v>256.8</v>
      </c>
      <c r="H70" s="592" t="s">
        <v>788</v>
      </c>
    </row>
    <row r="71" spans="1:8" s="71" customFormat="1" ht="15.75">
      <c r="A71" s="654"/>
      <c r="B71" s="306"/>
      <c r="C71" s="326"/>
      <c r="D71" s="315"/>
      <c r="E71" s="194" t="s">
        <v>24</v>
      </c>
      <c r="F71" s="194">
        <v>323</v>
      </c>
      <c r="G71" s="194">
        <f t="shared" si="2"/>
        <v>387.59999999999997</v>
      </c>
      <c r="H71" s="592"/>
    </row>
    <row r="72" spans="1:8" s="71" customFormat="1" ht="15.75">
      <c r="A72" s="654"/>
      <c r="B72" s="306"/>
      <c r="C72" s="174" t="s">
        <v>723</v>
      </c>
      <c r="D72" s="209" t="s">
        <v>724</v>
      </c>
      <c r="E72" s="194" t="s">
        <v>25</v>
      </c>
      <c r="F72" s="194">
        <v>2.43</v>
      </c>
      <c r="G72" s="194">
        <f t="shared" si="2"/>
        <v>2.916</v>
      </c>
      <c r="H72" s="234" t="s">
        <v>725</v>
      </c>
    </row>
    <row r="73" spans="1:8" s="83" customFormat="1" ht="15.75">
      <c r="A73" s="654"/>
      <c r="B73" s="306"/>
      <c r="C73" s="326" t="s">
        <v>726</v>
      </c>
      <c r="D73" s="175" t="s">
        <v>727</v>
      </c>
      <c r="E73" s="194" t="s">
        <v>21</v>
      </c>
      <c r="F73" s="194">
        <v>732</v>
      </c>
      <c r="G73" s="194">
        <f t="shared" si="2"/>
        <v>878.4</v>
      </c>
      <c r="H73" s="592" t="s">
        <v>728</v>
      </c>
    </row>
    <row r="74" spans="1:8" s="83" customFormat="1" ht="15.75">
      <c r="A74" s="654"/>
      <c r="B74" s="306"/>
      <c r="C74" s="326"/>
      <c r="D74" s="175"/>
      <c r="E74" s="194" t="s">
        <v>24</v>
      </c>
      <c r="F74" s="194">
        <v>1065</v>
      </c>
      <c r="G74" s="194">
        <f t="shared" si="2"/>
        <v>1278</v>
      </c>
      <c r="H74" s="592"/>
    </row>
    <row r="75" spans="1:8" s="83" customFormat="1" ht="15.75">
      <c r="A75" s="654">
        <v>10</v>
      </c>
      <c r="B75" s="306" t="s">
        <v>383</v>
      </c>
      <c r="C75" s="326" t="s">
        <v>617</v>
      </c>
      <c r="D75" s="326" t="s">
        <v>314</v>
      </c>
      <c r="E75" s="317" t="s">
        <v>25</v>
      </c>
      <c r="F75" s="216">
        <v>752</v>
      </c>
      <c r="G75" s="214">
        <f t="shared" si="2"/>
        <v>902.4</v>
      </c>
      <c r="H75" s="325" t="s">
        <v>729</v>
      </c>
    </row>
    <row r="76" spans="1:8" s="83" customFormat="1" ht="15.75">
      <c r="A76" s="654"/>
      <c r="B76" s="306"/>
      <c r="C76" s="326"/>
      <c r="D76" s="326"/>
      <c r="E76" s="317" t="s">
        <v>25</v>
      </c>
      <c r="F76" s="216">
        <v>467</v>
      </c>
      <c r="G76" s="214">
        <f t="shared" si="2"/>
        <v>560.4</v>
      </c>
      <c r="H76" s="325" t="s">
        <v>730</v>
      </c>
    </row>
    <row r="77" spans="1:8" s="83" customFormat="1" ht="31.5">
      <c r="A77" s="654"/>
      <c r="B77" s="306"/>
      <c r="C77" s="326"/>
      <c r="D77" s="317" t="s">
        <v>314</v>
      </c>
      <c r="E77" s="317" t="s">
        <v>25</v>
      </c>
      <c r="F77" s="216">
        <f>293*2</f>
        <v>586</v>
      </c>
      <c r="G77" s="214">
        <f t="shared" si="2"/>
        <v>703.1999999999999</v>
      </c>
      <c r="H77" s="325" t="s">
        <v>731</v>
      </c>
    </row>
    <row r="78" spans="1:8" s="83" customFormat="1" ht="31.5">
      <c r="A78" s="654"/>
      <c r="B78" s="306"/>
      <c r="C78" s="326"/>
      <c r="D78" s="326" t="s">
        <v>314</v>
      </c>
      <c r="E78" s="317" t="s">
        <v>25</v>
      </c>
      <c r="F78" s="216">
        <f>2*272</f>
        <v>544</v>
      </c>
      <c r="G78" s="214">
        <f t="shared" si="2"/>
        <v>652.8</v>
      </c>
      <c r="H78" s="234" t="s">
        <v>732</v>
      </c>
    </row>
    <row r="79" spans="1:8" s="83" customFormat="1" ht="31.5">
      <c r="A79" s="654"/>
      <c r="B79" s="306"/>
      <c r="C79" s="326"/>
      <c r="D79" s="326"/>
      <c r="E79" s="317" t="s">
        <v>25</v>
      </c>
      <c r="F79" s="216">
        <f>2*250</f>
        <v>500</v>
      </c>
      <c r="G79" s="214">
        <f t="shared" si="2"/>
        <v>600</v>
      </c>
      <c r="H79" s="234" t="s">
        <v>733</v>
      </c>
    </row>
    <row r="80" spans="1:8" s="83" customFormat="1" ht="31.5">
      <c r="A80" s="654"/>
      <c r="B80" s="306"/>
      <c r="C80" s="326"/>
      <c r="D80" s="326"/>
      <c r="E80" s="317" t="s">
        <v>25</v>
      </c>
      <c r="F80" s="216">
        <f>2*256</f>
        <v>512</v>
      </c>
      <c r="G80" s="214">
        <f t="shared" si="2"/>
        <v>614.4</v>
      </c>
      <c r="H80" s="234" t="s">
        <v>734</v>
      </c>
    </row>
    <row r="81" spans="1:8" s="83" customFormat="1" ht="31.5">
      <c r="A81" s="654"/>
      <c r="B81" s="306"/>
      <c r="C81" s="326"/>
      <c r="D81" s="326"/>
      <c r="E81" s="317" t="s">
        <v>25</v>
      </c>
      <c r="F81" s="216">
        <f>2*382</f>
        <v>764</v>
      </c>
      <c r="G81" s="214">
        <f t="shared" si="2"/>
        <v>916.8</v>
      </c>
      <c r="H81" s="234" t="s">
        <v>735</v>
      </c>
    </row>
    <row r="82" spans="1:8" s="83" customFormat="1" ht="31.5">
      <c r="A82" s="338">
        <v>11</v>
      </c>
      <c r="B82" s="328" t="s">
        <v>107</v>
      </c>
      <c r="C82" s="317" t="s">
        <v>108</v>
      </c>
      <c r="D82" s="317" t="s">
        <v>109</v>
      </c>
      <c r="E82" s="195" t="s">
        <v>736</v>
      </c>
      <c r="F82" s="194">
        <v>577</v>
      </c>
      <c r="G82" s="194">
        <f>F82*1.2</f>
        <v>692.4</v>
      </c>
      <c r="H82" s="234" t="s">
        <v>737</v>
      </c>
    </row>
    <row r="83" spans="1:8" s="83" customFormat="1" ht="31.5">
      <c r="A83" s="338">
        <v>12</v>
      </c>
      <c r="B83" s="328" t="s">
        <v>112</v>
      </c>
      <c r="C83" s="317" t="s">
        <v>113</v>
      </c>
      <c r="D83" s="317" t="s">
        <v>109</v>
      </c>
      <c r="E83" s="195" t="s">
        <v>736</v>
      </c>
      <c r="F83" s="216">
        <v>4696</v>
      </c>
      <c r="G83" s="216">
        <f>F83*1.2</f>
        <v>5635.2</v>
      </c>
      <c r="H83" s="234" t="s">
        <v>738</v>
      </c>
    </row>
    <row r="84" spans="1:8" s="83" customFormat="1" ht="31.5">
      <c r="A84" s="338">
        <v>13</v>
      </c>
      <c r="B84" s="328" t="s">
        <v>231</v>
      </c>
      <c r="C84" s="174" t="s">
        <v>120</v>
      </c>
      <c r="D84" s="317" t="s">
        <v>20</v>
      </c>
      <c r="E84" s="195" t="s">
        <v>736</v>
      </c>
      <c r="F84" s="238">
        <v>2437</v>
      </c>
      <c r="G84" s="238">
        <f>F84*1.2</f>
        <v>2924.4</v>
      </c>
      <c r="H84" s="234" t="s">
        <v>739</v>
      </c>
    </row>
    <row r="85" spans="1:8" s="146" customFormat="1" ht="63">
      <c r="A85" s="337" t="s">
        <v>689</v>
      </c>
      <c r="B85" s="328" t="s">
        <v>316</v>
      </c>
      <c r="C85" s="174" t="s">
        <v>393</v>
      </c>
      <c r="D85" s="174" t="s">
        <v>118</v>
      </c>
      <c r="E85" s="174"/>
      <c r="F85" s="723" t="s">
        <v>126</v>
      </c>
      <c r="G85" s="723"/>
      <c r="H85" s="234" t="s">
        <v>128</v>
      </c>
    </row>
    <row r="86" spans="1:8" s="83" customFormat="1" ht="31.5">
      <c r="A86" s="338">
        <v>15</v>
      </c>
      <c r="B86" s="328" t="s">
        <v>329</v>
      </c>
      <c r="C86" s="174" t="s">
        <v>330</v>
      </c>
      <c r="D86" s="174" t="s">
        <v>20</v>
      </c>
      <c r="E86" s="195" t="s">
        <v>105</v>
      </c>
      <c r="F86" s="198" t="s">
        <v>22</v>
      </c>
      <c r="G86" s="198"/>
      <c r="H86" s="234" t="s">
        <v>331</v>
      </c>
    </row>
    <row r="87" spans="1:8" s="83" customFormat="1" ht="15.75">
      <c r="A87" s="338"/>
      <c r="B87" s="306" t="s">
        <v>142</v>
      </c>
      <c r="C87" s="175" t="s">
        <v>740</v>
      </c>
      <c r="D87" s="326" t="s">
        <v>20</v>
      </c>
      <c r="E87" s="198" t="s">
        <v>736</v>
      </c>
      <c r="F87" s="198" t="s">
        <v>22</v>
      </c>
      <c r="G87" s="198"/>
      <c r="H87" s="592"/>
    </row>
    <row r="88" spans="1:8" s="83" customFormat="1" ht="15.75">
      <c r="A88" s="338">
        <v>16</v>
      </c>
      <c r="B88" s="306"/>
      <c r="C88" s="175"/>
      <c r="D88" s="326"/>
      <c r="E88" s="198"/>
      <c r="F88" s="198"/>
      <c r="G88" s="198"/>
      <c r="H88" s="592"/>
    </row>
    <row r="89" spans="1:8" s="83" customFormat="1" ht="31.5">
      <c r="A89" s="338">
        <v>17</v>
      </c>
      <c r="B89" s="328" t="s">
        <v>149</v>
      </c>
      <c r="C89" s="174" t="s">
        <v>242</v>
      </c>
      <c r="D89" s="174" t="s">
        <v>109</v>
      </c>
      <c r="E89" s="195" t="s">
        <v>627</v>
      </c>
      <c r="F89" s="216">
        <v>212</v>
      </c>
      <c r="G89" s="216">
        <f>F89*1.2</f>
        <v>254.39999999999998</v>
      </c>
      <c r="H89" s="234" t="s">
        <v>153</v>
      </c>
    </row>
    <row r="90" spans="1:8" s="83" customFormat="1" ht="47.25">
      <c r="A90" s="338">
        <v>18</v>
      </c>
      <c r="B90" s="328" t="s">
        <v>154</v>
      </c>
      <c r="C90" s="174" t="s">
        <v>741</v>
      </c>
      <c r="D90" s="317" t="s">
        <v>118</v>
      </c>
      <c r="E90" s="195" t="s">
        <v>627</v>
      </c>
      <c r="F90" s="214">
        <v>2181.91</v>
      </c>
      <c r="G90" s="214">
        <f>F90*1.2</f>
        <v>2618.292</v>
      </c>
      <c r="H90" s="234"/>
    </row>
    <row r="91" spans="1:8" s="83" customFormat="1" ht="32.25" thickBot="1">
      <c r="A91" s="348">
        <v>19</v>
      </c>
      <c r="B91" s="349" t="s">
        <v>159</v>
      </c>
      <c r="C91" s="242" t="s">
        <v>160</v>
      </c>
      <c r="D91" s="350" t="s">
        <v>742</v>
      </c>
      <c r="E91" s="351" t="s">
        <v>627</v>
      </c>
      <c r="F91" s="280">
        <v>808</v>
      </c>
      <c r="G91" s="281">
        <f>F91*1.2</f>
        <v>969.5999999999999</v>
      </c>
      <c r="H91" s="352" t="s">
        <v>335</v>
      </c>
    </row>
    <row r="92" spans="1:8" ht="15.75">
      <c r="A92" s="282"/>
      <c r="B92" s="282"/>
      <c r="C92" s="282"/>
      <c r="D92" s="282"/>
      <c r="E92" s="282"/>
      <c r="F92" s="282"/>
      <c r="G92" s="283"/>
      <c r="H92" s="282"/>
    </row>
    <row r="93" spans="1:8" ht="15.75">
      <c r="A93" s="726" t="s">
        <v>248</v>
      </c>
      <c r="B93" s="726"/>
      <c r="C93" s="574"/>
      <c r="D93" s="143"/>
      <c r="E93" s="143"/>
      <c r="F93" s="282"/>
      <c r="G93" s="283"/>
      <c r="H93" s="282"/>
    </row>
    <row r="94" spans="1:8" ht="15.75">
      <c r="A94" s="264"/>
      <c r="B94" s="264"/>
      <c r="C94" s="574"/>
      <c r="D94" s="143"/>
      <c r="E94" s="143"/>
      <c r="F94" s="282"/>
      <c r="G94" s="283"/>
      <c r="H94" s="282"/>
    </row>
    <row r="95" spans="1:8" ht="15.75">
      <c r="A95" s="574" t="s">
        <v>409</v>
      </c>
      <c r="B95" s="574"/>
      <c r="C95" s="574"/>
      <c r="D95" s="142"/>
      <c r="E95" s="579" t="s">
        <v>168</v>
      </c>
      <c r="F95" s="145"/>
      <c r="G95" s="108"/>
      <c r="H95" s="576"/>
    </row>
    <row r="96" spans="1:8" ht="15.75">
      <c r="A96" s="574"/>
      <c r="B96" s="574"/>
      <c r="C96" s="574"/>
      <c r="D96" s="142"/>
      <c r="E96" s="579"/>
      <c r="F96" s="145"/>
      <c r="G96" s="108"/>
      <c r="H96" s="576"/>
    </row>
    <row r="97" spans="1:8" ht="15.75">
      <c r="A97" s="727" t="s">
        <v>169</v>
      </c>
      <c r="B97" s="727"/>
      <c r="C97" s="727"/>
      <c r="D97" s="142"/>
      <c r="E97" s="579" t="s">
        <v>170</v>
      </c>
      <c r="F97" s="145"/>
      <c r="G97" s="108"/>
      <c r="H97" s="576"/>
    </row>
    <row r="98" spans="1:8" ht="15.75">
      <c r="A98" s="574"/>
      <c r="B98" s="574"/>
      <c r="C98" s="574"/>
      <c r="D98" s="142"/>
      <c r="E98" s="579"/>
      <c r="F98" s="145"/>
      <c r="G98" s="108"/>
      <c r="H98" s="576"/>
    </row>
    <row r="99" spans="1:8" ht="15.75">
      <c r="A99" s="727" t="s">
        <v>171</v>
      </c>
      <c r="B99" s="727"/>
      <c r="C99" s="727"/>
      <c r="D99" s="142"/>
      <c r="E99" s="579" t="s">
        <v>172</v>
      </c>
      <c r="F99" s="293"/>
      <c r="G99" s="108"/>
      <c r="H99" s="728"/>
    </row>
    <row r="100" spans="1:8" ht="15.75">
      <c r="A100" s="574"/>
      <c r="B100" s="574"/>
      <c r="C100" s="574"/>
      <c r="D100" s="142"/>
      <c r="E100" s="579"/>
      <c r="F100" s="293"/>
      <c r="G100" s="108"/>
      <c r="H100" s="728"/>
    </row>
    <row r="101" spans="1:8" ht="15.75">
      <c r="A101" s="727" t="s">
        <v>173</v>
      </c>
      <c r="B101" s="727"/>
      <c r="C101" s="727"/>
      <c r="D101" s="142"/>
      <c r="E101" s="579" t="s">
        <v>653</v>
      </c>
      <c r="F101" s="147"/>
      <c r="G101" s="108"/>
      <c r="H101" s="578"/>
    </row>
    <row r="102" spans="1:8" ht="15.75">
      <c r="A102" s="574"/>
      <c r="B102" s="574"/>
      <c r="C102" s="574"/>
      <c r="D102" s="282"/>
      <c r="E102" s="282"/>
      <c r="F102" s="282"/>
      <c r="G102" s="108"/>
      <c r="H102" s="282"/>
    </row>
    <row r="103" spans="1:8" ht="15.75">
      <c r="A103" s="727" t="s">
        <v>743</v>
      </c>
      <c r="B103" s="727"/>
      <c r="C103" s="727"/>
      <c r="D103" s="131"/>
      <c r="E103" s="724" t="s">
        <v>744</v>
      </c>
      <c r="F103" s="293"/>
      <c r="G103" s="108"/>
      <c r="H103" s="728"/>
    </row>
  </sheetData>
  <sheetProtection/>
  <mergeCells count="101">
    <mergeCell ref="H87:H88"/>
    <mergeCell ref="A93:B93"/>
    <mergeCell ref="F85:G85"/>
    <mergeCell ref="F86:G86"/>
    <mergeCell ref="B87:B88"/>
    <mergeCell ref="C87:C88"/>
    <mergeCell ref="D87:D88"/>
    <mergeCell ref="E87:E88"/>
    <mergeCell ref="F87:G88"/>
    <mergeCell ref="H73:H74"/>
    <mergeCell ref="A75:A81"/>
    <mergeCell ref="B75:B81"/>
    <mergeCell ref="C75:C81"/>
    <mergeCell ref="D75:D76"/>
    <mergeCell ref="D78:D81"/>
    <mergeCell ref="A69:A74"/>
    <mergeCell ref="B69:B74"/>
    <mergeCell ref="C69:H69"/>
    <mergeCell ref="C70:C71"/>
    <mergeCell ref="D70:D71"/>
    <mergeCell ref="H70:H71"/>
    <mergeCell ref="C73:C74"/>
    <mergeCell ref="D73:D74"/>
    <mergeCell ref="D64:D65"/>
    <mergeCell ref="A66:B66"/>
    <mergeCell ref="C66:H66"/>
    <mergeCell ref="A67:A68"/>
    <mergeCell ref="B67:B68"/>
    <mergeCell ref="C67:C68"/>
    <mergeCell ref="D67:D68"/>
    <mergeCell ref="H67:H68"/>
    <mergeCell ref="F57:G57"/>
    <mergeCell ref="D58:D59"/>
    <mergeCell ref="H58:H59"/>
    <mergeCell ref="D60:D61"/>
    <mergeCell ref="H60:H61"/>
    <mergeCell ref="D62:D63"/>
    <mergeCell ref="H62:H63"/>
    <mergeCell ref="A53:H53"/>
    <mergeCell ref="A54:B54"/>
    <mergeCell ref="C54:H54"/>
    <mergeCell ref="A55:A65"/>
    <mergeCell ref="B55:B65"/>
    <mergeCell ref="C55:C65"/>
    <mergeCell ref="D55:D56"/>
    <mergeCell ref="F55:G55"/>
    <mergeCell ref="H55:H57"/>
    <mergeCell ref="F56:G56"/>
    <mergeCell ref="A50:A52"/>
    <mergeCell ref="B50:B52"/>
    <mergeCell ref="C50:C52"/>
    <mergeCell ref="D50:D51"/>
    <mergeCell ref="F50:G50"/>
    <mergeCell ref="H50:H52"/>
    <mergeCell ref="F51:G51"/>
    <mergeCell ref="F52:G52"/>
    <mergeCell ref="A46:A49"/>
    <mergeCell ref="B46:B49"/>
    <mergeCell ref="C46:C47"/>
    <mergeCell ref="D46:D47"/>
    <mergeCell ref="C48:C49"/>
    <mergeCell ref="D48:D49"/>
    <mergeCell ref="A26:A45"/>
    <mergeCell ref="B26:B45"/>
    <mergeCell ref="C26:H26"/>
    <mergeCell ref="H27:H45"/>
    <mergeCell ref="C28:C29"/>
    <mergeCell ref="C31:C32"/>
    <mergeCell ref="C43:C44"/>
    <mergeCell ref="A23:A25"/>
    <mergeCell ref="B23:B25"/>
    <mergeCell ref="C23:C25"/>
    <mergeCell ref="D23:D24"/>
    <mergeCell ref="F23:G23"/>
    <mergeCell ref="H23:H25"/>
    <mergeCell ref="F24:G24"/>
    <mergeCell ref="F25:G25"/>
    <mergeCell ref="A20:A22"/>
    <mergeCell ref="B20:B22"/>
    <mergeCell ref="C20:C22"/>
    <mergeCell ref="D20:D21"/>
    <mergeCell ref="F20:G20"/>
    <mergeCell ref="H20:H22"/>
    <mergeCell ref="F21:G21"/>
    <mergeCell ref="F22:G22"/>
    <mergeCell ref="A16:B16"/>
    <mergeCell ref="C16:H16"/>
    <mergeCell ref="A17:A19"/>
    <mergeCell ref="B17:B19"/>
    <mergeCell ref="C17:C19"/>
    <mergeCell ref="D17:D18"/>
    <mergeCell ref="F17:G17"/>
    <mergeCell ref="H17:H19"/>
    <mergeCell ref="F18:G18"/>
    <mergeCell ref="F19:G19"/>
    <mergeCell ref="A9:H9"/>
    <mergeCell ref="A10:H10"/>
    <mergeCell ref="A11:H11"/>
    <mergeCell ref="A12:H12"/>
    <mergeCell ref="A13:H13"/>
    <mergeCell ref="A15:H1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Q156"/>
  <sheetViews>
    <sheetView zoomScale="70" zoomScaleNormal="70" zoomScalePageLayoutView="0" workbookViewId="0" topLeftCell="A1">
      <selection activeCell="A14" sqref="A14:H139"/>
    </sheetView>
  </sheetViews>
  <sheetFormatPr defaultColWidth="9.140625" defaultRowHeight="15"/>
  <cols>
    <col min="1" max="1" width="7.57421875" style="46" customWidth="1"/>
    <col min="2" max="2" width="16.421875" style="46" customWidth="1"/>
    <col min="3" max="3" width="44.8515625" style="46" customWidth="1"/>
    <col min="4" max="4" width="19.57421875" style="105" customWidth="1"/>
    <col min="5" max="5" width="19.57421875" style="106" customWidth="1"/>
    <col min="6" max="6" width="19.57421875" style="46" customWidth="1"/>
    <col min="7" max="7" width="19.57421875" style="107" customWidth="1"/>
    <col min="8" max="8" width="94.140625" style="46" customWidth="1"/>
    <col min="9" max="9" width="18.7109375" style="46" customWidth="1"/>
    <col min="10" max="11" width="12.8515625" style="46" customWidth="1"/>
    <col min="12" max="16384" width="9.140625" style="46" customWidth="1"/>
  </cols>
  <sheetData>
    <row r="1" spans="1:8" s="115" customFormat="1" ht="20.25">
      <c r="A1" s="288"/>
      <c r="B1" s="288"/>
      <c r="C1" s="288"/>
      <c r="D1" s="288"/>
      <c r="E1" s="288"/>
      <c r="F1" s="288"/>
      <c r="G1" s="297"/>
      <c r="H1" s="289"/>
    </row>
    <row r="2" spans="1:8" s="115" customFormat="1" ht="20.25" customHeight="1">
      <c r="A2" s="288"/>
      <c r="B2" s="288"/>
      <c r="C2" s="288"/>
      <c r="D2" s="288"/>
      <c r="E2" s="288"/>
      <c r="F2" s="288"/>
      <c r="H2" s="636" t="s">
        <v>0</v>
      </c>
    </row>
    <row r="3" spans="1:8" s="115" customFormat="1" ht="20.25" customHeight="1">
      <c r="A3" s="288"/>
      <c r="B3" s="288"/>
      <c r="C3" s="288"/>
      <c r="D3" s="288"/>
      <c r="E3" s="288"/>
      <c r="F3" s="288"/>
      <c r="H3" s="637" t="s">
        <v>1</v>
      </c>
    </row>
    <row r="4" spans="1:8" s="115" customFormat="1" ht="20.25" customHeight="1">
      <c r="A4" s="288"/>
      <c r="B4" s="288"/>
      <c r="C4" s="288"/>
      <c r="D4" s="288"/>
      <c r="E4" s="288"/>
      <c r="F4" s="288"/>
      <c r="H4" s="638" t="s">
        <v>2</v>
      </c>
    </row>
    <row r="5" spans="1:8" s="115" customFormat="1" ht="20.25">
      <c r="A5" s="288"/>
      <c r="B5" s="288"/>
      <c r="C5" s="288"/>
      <c r="D5" s="288"/>
      <c r="E5" s="288"/>
      <c r="F5" s="288"/>
      <c r="H5" s="569"/>
    </row>
    <row r="6" spans="1:8" s="115" customFormat="1" ht="20.25" customHeight="1">
      <c r="A6" s="288"/>
      <c r="B6" s="288"/>
      <c r="C6" s="288"/>
      <c r="D6" s="288"/>
      <c r="E6" s="288"/>
      <c r="F6" s="288"/>
      <c r="H6" s="639" t="s">
        <v>3</v>
      </c>
    </row>
    <row r="7" spans="1:8" s="115" customFormat="1" ht="20.25">
      <c r="A7" s="288"/>
      <c r="B7" s="288"/>
      <c r="C7" s="288"/>
      <c r="D7" s="288"/>
      <c r="E7" s="288"/>
      <c r="F7" s="288"/>
      <c r="G7" s="298"/>
      <c r="H7" s="299"/>
    </row>
    <row r="8" spans="1:8" ht="20.25">
      <c r="A8" s="289"/>
      <c r="B8" s="289"/>
      <c r="C8" s="289"/>
      <c r="D8" s="289"/>
      <c r="E8" s="289"/>
      <c r="F8" s="289"/>
      <c r="G8" s="290"/>
      <c r="H8" s="289"/>
    </row>
    <row r="9" spans="1:8" s="289" customFormat="1" ht="20.25">
      <c r="A9" s="570" t="s">
        <v>4</v>
      </c>
      <c r="B9" s="570"/>
      <c r="C9" s="570"/>
      <c r="D9" s="570"/>
      <c r="E9" s="570"/>
      <c r="F9" s="570"/>
      <c r="G9" s="570"/>
      <c r="H9" s="570"/>
    </row>
    <row r="10" spans="1:8" s="289" customFormat="1" ht="20.25">
      <c r="A10" s="570" t="s">
        <v>773</v>
      </c>
      <c r="B10" s="570"/>
      <c r="C10" s="570"/>
      <c r="D10" s="570"/>
      <c r="E10" s="570"/>
      <c r="F10" s="570"/>
      <c r="G10" s="570"/>
      <c r="H10" s="570"/>
    </row>
    <row r="11" spans="1:8" s="289" customFormat="1" ht="20.25">
      <c r="A11" s="570" t="s">
        <v>790</v>
      </c>
      <c r="B11" s="570"/>
      <c r="C11" s="570"/>
      <c r="D11" s="570"/>
      <c r="E11" s="570"/>
      <c r="F11" s="570"/>
      <c r="G11" s="570"/>
      <c r="H11" s="570"/>
    </row>
    <row r="12" spans="1:8" s="289" customFormat="1" ht="20.25">
      <c r="A12" s="570" t="s">
        <v>5</v>
      </c>
      <c r="B12" s="570"/>
      <c r="C12" s="570"/>
      <c r="D12" s="570"/>
      <c r="E12" s="570"/>
      <c r="F12" s="570"/>
      <c r="G12" s="570"/>
      <c r="H12" s="570"/>
    </row>
    <row r="13" spans="1:8" s="289" customFormat="1" ht="21" thickBot="1">
      <c r="A13" s="300"/>
      <c r="B13" s="300"/>
      <c r="C13" s="300"/>
      <c r="D13" s="300"/>
      <c r="E13" s="300"/>
      <c r="F13" s="300"/>
      <c r="G13" s="300"/>
      <c r="H13" s="300"/>
    </row>
    <row r="14" spans="1:8" ht="47.25">
      <c r="A14" s="121" t="s">
        <v>6</v>
      </c>
      <c r="B14" s="122" t="s">
        <v>7</v>
      </c>
      <c r="C14" s="122" t="s">
        <v>8</v>
      </c>
      <c r="D14" s="122" t="s">
        <v>9</v>
      </c>
      <c r="E14" s="122" t="s">
        <v>10</v>
      </c>
      <c r="F14" s="122" t="s">
        <v>11</v>
      </c>
      <c r="G14" s="123" t="s">
        <v>12</v>
      </c>
      <c r="H14" s="732" t="s">
        <v>13</v>
      </c>
    </row>
    <row r="15" spans="1:8" ht="15.75">
      <c r="A15" s="64" t="s">
        <v>14</v>
      </c>
      <c r="B15" s="69"/>
      <c r="C15" s="69"/>
      <c r="D15" s="69"/>
      <c r="E15" s="69"/>
      <c r="F15" s="69"/>
      <c r="G15" s="69"/>
      <c r="H15" s="124"/>
    </row>
    <row r="16" spans="1:8" ht="15.75">
      <c r="A16" s="89" t="s">
        <v>15</v>
      </c>
      <c r="B16" s="90"/>
      <c r="C16" s="69" t="s">
        <v>177</v>
      </c>
      <c r="D16" s="69"/>
      <c r="E16" s="69"/>
      <c r="F16" s="69"/>
      <c r="G16" s="69"/>
      <c r="H16" s="124"/>
    </row>
    <row r="17" spans="1:8" ht="15.75">
      <c r="A17" s="136" t="s">
        <v>17</v>
      </c>
      <c r="B17" s="90" t="s">
        <v>18</v>
      </c>
      <c r="C17" s="144" t="s">
        <v>19</v>
      </c>
      <c r="D17" s="63" t="s">
        <v>20</v>
      </c>
      <c r="E17" s="45" t="s">
        <v>21</v>
      </c>
      <c r="F17" s="63" t="s">
        <v>22</v>
      </c>
      <c r="G17" s="63"/>
      <c r="H17" s="733" t="s">
        <v>178</v>
      </c>
    </row>
    <row r="18" spans="1:8" ht="15.75">
      <c r="A18" s="136"/>
      <c r="B18" s="90"/>
      <c r="C18" s="144"/>
      <c r="D18" s="63"/>
      <c r="E18" s="45" t="s">
        <v>24</v>
      </c>
      <c r="F18" s="63" t="s">
        <v>22</v>
      </c>
      <c r="G18" s="63"/>
      <c r="H18" s="734"/>
    </row>
    <row r="19" spans="1:8" ht="15.75">
      <c r="A19" s="136"/>
      <c r="B19" s="90"/>
      <c r="C19" s="144"/>
      <c r="D19" s="47" t="s">
        <v>25</v>
      </c>
      <c r="E19" s="45"/>
      <c r="F19" s="63" t="s">
        <v>22</v>
      </c>
      <c r="G19" s="63"/>
      <c r="H19" s="735"/>
    </row>
    <row r="20" spans="1:8" ht="15.75">
      <c r="A20" s="136" t="s">
        <v>26</v>
      </c>
      <c r="B20" s="90" t="s">
        <v>27</v>
      </c>
      <c r="C20" s="144" t="s">
        <v>28</v>
      </c>
      <c r="D20" s="63" t="s">
        <v>20</v>
      </c>
      <c r="E20" s="45" t="s">
        <v>21</v>
      </c>
      <c r="F20" s="63" t="s">
        <v>22</v>
      </c>
      <c r="G20" s="63"/>
      <c r="H20" s="733" t="s">
        <v>179</v>
      </c>
    </row>
    <row r="21" spans="1:8" ht="15.75">
      <c r="A21" s="136"/>
      <c r="B21" s="90"/>
      <c r="C21" s="144"/>
      <c r="D21" s="63"/>
      <c r="E21" s="45" t="s">
        <v>24</v>
      </c>
      <c r="F21" s="63" t="s">
        <v>22</v>
      </c>
      <c r="G21" s="63"/>
      <c r="H21" s="734"/>
    </row>
    <row r="22" spans="1:8" ht="15.75">
      <c r="A22" s="136"/>
      <c r="B22" s="90"/>
      <c r="C22" s="144"/>
      <c r="D22" s="47" t="s">
        <v>25</v>
      </c>
      <c r="E22" s="45"/>
      <c r="F22" s="63" t="s">
        <v>22</v>
      </c>
      <c r="G22" s="63"/>
      <c r="H22" s="735"/>
    </row>
    <row r="23" spans="1:8" ht="15.75">
      <c r="A23" s="136" t="s">
        <v>30</v>
      </c>
      <c r="B23" s="90" t="s">
        <v>31</v>
      </c>
      <c r="C23" s="144" t="s">
        <v>32</v>
      </c>
      <c r="D23" s="63" t="s">
        <v>20</v>
      </c>
      <c r="E23" s="45" t="s">
        <v>21</v>
      </c>
      <c r="F23" s="63" t="s">
        <v>22</v>
      </c>
      <c r="G23" s="63"/>
      <c r="H23" s="733" t="s">
        <v>179</v>
      </c>
    </row>
    <row r="24" spans="1:8" ht="15.75">
      <c r="A24" s="136"/>
      <c r="B24" s="90"/>
      <c r="C24" s="144"/>
      <c r="D24" s="63"/>
      <c r="E24" s="45" t="s">
        <v>24</v>
      </c>
      <c r="F24" s="63" t="s">
        <v>22</v>
      </c>
      <c r="G24" s="63"/>
      <c r="H24" s="734"/>
    </row>
    <row r="25" spans="1:8" ht="15.75">
      <c r="A25" s="136"/>
      <c r="B25" s="90"/>
      <c r="C25" s="144"/>
      <c r="D25" s="47" t="s">
        <v>25</v>
      </c>
      <c r="E25" s="45"/>
      <c r="F25" s="63" t="s">
        <v>22</v>
      </c>
      <c r="G25" s="63"/>
      <c r="H25" s="735"/>
    </row>
    <row r="26" spans="1:8" ht="15.75">
      <c r="A26" s="125" t="s">
        <v>33</v>
      </c>
      <c r="B26" s="62" t="s">
        <v>34</v>
      </c>
      <c r="C26" s="49" t="s">
        <v>35</v>
      </c>
      <c r="D26" s="50"/>
      <c r="E26" s="50"/>
      <c r="F26" s="50"/>
      <c r="G26" s="50"/>
      <c r="H26" s="51"/>
    </row>
    <row r="27" spans="1:10" ht="15.75">
      <c r="A27" s="126"/>
      <c r="B27" s="48"/>
      <c r="C27" s="58" t="s">
        <v>180</v>
      </c>
      <c r="D27" s="45" t="s">
        <v>20</v>
      </c>
      <c r="E27" s="45" t="s">
        <v>21</v>
      </c>
      <c r="F27" s="56">
        <v>3171</v>
      </c>
      <c r="G27" s="56">
        <f aca="true" t="shared" si="0" ref="G27:G74">F27*1.2</f>
        <v>3805.2</v>
      </c>
      <c r="H27" s="261" t="s">
        <v>755</v>
      </c>
      <c r="I27" s="291"/>
      <c r="J27" s="129"/>
    </row>
    <row r="28" spans="1:10" ht="15.75">
      <c r="A28" s="126"/>
      <c r="B28" s="52"/>
      <c r="C28" s="55"/>
      <c r="D28" s="45" t="s">
        <v>20</v>
      </c>
      <c r="E28" s="45" t="s">
        <v>24</v>
      </c>
      <c r="F28" s="56">
        <v>5655</v>
      </c>
      <c r="G28" s="56">
        <f t="shared" si="0"/>
        <v>6786</v>
      </c>
      <c r="H28" s="262"/>
      <c r="I28" s="291"/>
      <c r="J28" s="129"/>
    </row>
    <row r="29" spans="1:10" ht="15.75">
      <c r="A29" s="126"/>
      <c r="B29" s="52"/>
      <c r="C29" s="58" t="s">
        <v>181</v>
      </c>
      <c r="D29" s="45" t="s">
        <v>20</v>
      </c>
      <c r="E29" s="45" t="s">
        <v>21</v>
      </c>
      <c r="F29" s="56">
        <v>3964</v>
      </c>
      <c r="G29" s="56">
        <f t="shared" si="0"/>
        <v>4756.8</v>
      </c>
      <c r="H29" s="262"/>
      <c r="I29" s="291"/>
      <c r="J29" s="129"/>
    </row>
    <row r="30" spans="1:10" ht="15.75">
      <c r="A30" s="126"/>
      <c r="B30" s="52"/>
      <c r="C30" s="55"/>
      <c r="D30" s="45" t="s">
        <v>20</v>
      </c>
      <c r="E30" s="45" t="s">
        <v>24</v>
      </c>
      <c r="F30" s="56">
        <v>5903</v>
      </c>
      <c r="G30" s="56">
        <f t="shared" si="0"/>
        <v>7083.599999999999</v>
      </c>
      <c r="H30" s="262"/>
      <c r="I30" s="291"/>
      <c r="J30" s="129"/>
    </row>
    <row r="31" spans="1:10" ht="15.75">
      <c r="A31" s="126"/>
      <c r="B31" s="52"/>
      <c r="C31" s="58" t="s">
        <v>182</v>
      </c>
      <c r="D31" s="45" t="s">
        <v>20</v>
      </c>
      <c r="E31" s="45" t="s">
        <v>21</v>
      </c>
      <c r="F31" s="56">
        <v>4518</v>
      </c>
      <c r="G31" s="56">
        <f t="shared" si="0"/>
        <v>5421.599999999999</v>
      </c>
      <c r="H31" s="262"/>
      <c r="I31" s="291"/>
      <c r="J31" s="129"/>
    </row>
    <row r="32" spans="1:10" ht="15.75">
      <c r="A32" s="126"/>
      <c r="B32" s="52"/>
      <c r="C32" s="55"/>
      <c r="D32" s="45" t="s">
        <v>20</v>
      </c>
      <c r="E32" s="45" t="s">
        <v>24</v>
      </c>
      <c r="F32" s="56">
        <v>6200</v>
      </c>
      <c r="G32" s="56">
        <f t="shared" si="0"/>
        <v>7440</v>
      </c>
      <c r="H32" s="262"/>
      <c r="I32" s="291"/>
      <c r="J32" s="129"/>
    </row>
    <row r="33" spans="1:10" ht="15.75">
      <c r="A33" s="126"/>
      <c r="B33" s="52"/>
      <c r="C33" s="58" t="s">
        <v>39</v>
      </c>
      <c r="D33" s="45" t="s">
        <v>20</v>
      </c>
      <c r="E33" s="45" t="s">
        <v>21</v>
      </c>
      <c r="F33" s="56">
        <v>6272</v>
      </c>
      <c r="G33" s="56">
        <f t="shared" si="0"/>
        <v>7526.4</v>
      </c>
      <c r="H33" s="262"/>
      <c r="I33" s="291"/>
      <c r="J33" s="129"/>
    </row>
    <row r="34" spans="1:10" ht="15.75">
      <c r="A34" s="126"/>
      <c r="B34" s="52"/>
      <c r="C34" s="55"/>
      <c r="D34" s="45" t="s">
        <v>20</v>
      </c>
      <c r="E34" s="45" t="s">
        <v>24</v>
      </c>
      <c r="F34" s="56">
        <v>7104</v>
      </c>
      <c r="G34" s="56">
        <f t="shared" si="0"/>
        <v>8524.8</v>
      </c>
      <c r="H34" s="262"/>
      <c r="I34" s="291"/>
      <c r="J34" s="129"/>
    </row>
    <row r="35" spans="1:10" ht="15.75">
      <c r="A35" s="126"/>
      <c r="B35" s="52"/>
      <c r="C35" s="58" t="s">
        <v>183</v>
      </c>
      <c r="D35" s="45" t="s">
        <v>20</v>
      </c>
      <c r="E35" s="45" t="s">
        <v>21</v>
      </c>
      <c r="F35" s="56">
        <v>6332</v>
      </c>
      <c r="G35" s="56">
        <f t="shared" si="0"/>
        <v>7598.4</v>
      </c>
      <c r="H35" s="262"/>
      <c r="I35" s="291"/>
      <c r="J35" s="129"/>
    </row>
    <row r="36" spans="1:10" ht="15.75">
      <c r="A36" s="126"/>
      <c r="B36" s="52"/>
      <c r="C36" s="55"/>
      <c r="D36" s="45" t="s">
        <v>20</v>
      </c>
      <c r="E36" s="45" t="s">
        <v>24</v>
      </c>
      <c r="F36" s="56">
        <v>7438</v>
      </c>
      <c r="G36" s="56">
        <f t="shared" si="0"/>
        <v>8925.6</v>
      </c>
      <c r="H36" s="262"/>
      <c r="I36" s="291"/>
      <c r="J36" s="129"/>
    </row>
    <row r="37" spans="1:10" ht="15.75">
      <c r="A37" s="126"/>
      <c r="B37" s="52"/>
      <c r="C37" s="58" t="s">
        <v>184</v>
      </c>
      <c r="D37" s="45" t="s">
        <v>20</v>
      </c>
      <c r="E37" s="45" t="s">
        <v>21</v>
      </c>
      <c r="F37" s="56">
        <v>6504</v>
      </c>
      <c r="G37" s="56">
        <f t="shared" si="0"/>
        <v>7804.799999999999</v>
      </c>
      <c r="H37" s="262"/>
      <c r="I37" s="291"/>
      <c r="J37" s="129"/>
    </row>
    <row r="38" spans="1:10" ht="15.75">
      <c r="A38" s="126"/>
      <c r="B38" s="52"/>
      <c r="C38" s="55"/>
      <c r="D38" s="45" t="s">
        <v>20</v>
      </c>
      <c r="E38" s="45" t="s">
        <v>24</v>
      </c>
      <c r="F38" s="276">
        <v>8077</v>
      </c>
      <c r="G38" s="276">
        <f t="shared" si="0"/>
        <v>9692.4</v>
      </c>
      <c r="H38" s="262"/>
      <c r="I38" s="291"/>
      <c r="J38" s="129"/>
    </row>
    <row r="39" spans="1:10" ht="15.75">
      <c r="A39" s="126"/>
      <c r="B39" s="52"/>
      <c r="C39" s="58" t="s">
        <v>185</v>
      </c>
      <c r="D39" s="45" t="s">
        <v>20</v>
      </c>
      <c r="E39" s="45" t="s">
        <v>21</v>
      </c>
      <c r="F39" s="276">
        <v>6833</v>
      </c>
      <c r="G39" s="276">
        <f t="shared" si="0"/>
        <v>8199.6</v>
      </c>
      <c r="H39" s="262"/>
      <c r="I39" s="291"/>
      <c r="J39" s="129"/>
    </row>
    <row r="40" spans="1:10" ht="15.75">
      <c r="A40" s="126"/>
      <c r="B40" s="52"/>
      <c r="C40" s="55"/>
      <c r="D40" s="45" t="s">
        <v>20</v>
      </c>
      <c r="E40" s="45" t="s">
        <v>24</v>
      </c>
      <c r="F40" s="276">
        <v>8210</v>
      </c>
      <c r="G40" s="276">
        <f t="shared" si="0"/>
        <v>9852</v>
      </c>
      <c r="H40" s="262"/>
      <c r="I40" s="291"/>
      <c r="J40" s="129"/>
    </row>
    <row r="41" spans="1:10" ht="15.75">
      <c r="A41" s="126"/>
      <c r="B41" s="52"/>
      <c r="C41" s="58" t="s">
        <v>186</v>
      </c>
      <c r="D41" s="45" t="s">
        <v>20</v>
      </c>
      <c r="E41" s="45" t="s">
        <v>21</v>
      </c>
      <c r="F41" s="276">
        <v>7173</v>
      </c>
      <c r="G41" s="276">
        <f t="shared" si="0"/>
        <v>8607.6</v>
      </c>
      <c r="H41" s="262"/>
      <c r="I41" s="291"/>
      <c r="J41" s="129"/>
    </row>
    <row r="42" spans="1:10" ht="15.75">
      <c r="A42" s="126"/>
      <c r="B42" s="52"/>
      <c r="C42" s="55"/>
      <c r="D42" s="45" t="s">
        <v>20</v>
      </c>
      <c r="E42" s="45" t="s">
        <v>24</v>
      </c>
      <c r="F42" s="276">
        <v>8522</v>
      </c>
      <c r="G42" s="276">
        <f t="shared" si="0"/>
        <v>10226.4</v>
      </c>
      <c r="H42" s="262"/>
      <c r="I42" s="291"/>
      <c r="J42" s="129"/>
    </row>
    <row r="43" spans="1:10" ht="15.75">
      <c r="A43" s="126"/>
      <c r="B43" s="52"/>
      <c r="C43" s="58" t="s">
        <v>187</v>
      </c>
      <c r="D43" s="45" t="s">
        <v>20</v>
      </c>
      <c r="E43" s="45" t="s">
        <v>21</v>
      </c>
      <c r="F43" s="56">
        <v>7416</v>
      </c>
      <c r="G43" s="56">
        <f t="shared" si="0"/>
        <v>8899.199999999999</v>
      </c>
      <c r="H43" s="262"/>
      <c r="I43" s="291"/>
      <c r="J43" s="129"/>
    </row>
    <row r="44" spans="1:10" ht="15.75">
      <c r="A44" s="126"/>
      <c r="B44" s="52"/>
      <c r="C44" s="55"/>
      <c r="D44" s="45" t="s">
        <v>20</v>
      </c>
      <c r="E44" s="45" t="s">
        <v>24</v>
      </c>
      <c r="F44" s="56">
        <v>8734</v>
      </c>
      <c r="G44" s="56">
        <f t="shared" si="0"/>
        <v>10480.8</v>
      </c>
      <c r="H44" s="262"/>
      <c r="I44" s="291"/>
      <c r="J44" s="129"/>
    </row>
    <row r="45" spans="1:10" ht="15.75">
      <c r="A45" s="126"/>
      <c r="B45" s="52"/>
      <c r="C45" s="58" t="s">
        <v>188</v>
      </c>
      <c r="D45" s="45" t="s">
        <v>20</v>
      </c>
      <c r="E45" s="45" t="s">
        <v>21</v>
      </c>
      <c r="F45" s="56">
        <v>7674</v>
      </c>
      <c r="G45" s="56">
        <f t="shared" si="0"/>
        <v>9208.8</v>
      </c>
      <c r="H45" s="262"/>
      <c r="I45" s="291"/>
      <c r="J45" s="129"/>
    </row>
    <row r="46" spans="1:10" ht="15.75">
      <c r="A46" s="126"/>
      <c r="B46" s="52"/>
      <c r="C46" s="55"/>
      <c r="D46" s="45" t="s">
        <v>20</v>
      </c>
      <c r="E46" s="45" t="s">
        <v>24</v>
      </c>
      <c r="F46" s="56">
        <v>10625</v>
      </c>
      <c r="G46" s="56">
        <f t="shared" si="0"/>
        <v>12750</v>
      </c>
      <c r="H46" s="262"/>
      <c r="I46" s="291"/>
      <c r="J46" s="129"/>
    </row>
    <row r="47" spans="1:10" ht="15.75">
      <c r="A47" s="126"/>
      <c r="B47" s="52"/>
      <c r="C47" s="58" t="s">
        <v>189</v>
      </c>
      <c r="D47" s="45" t="s">
        <v>20</v>
      </c>
      <c r="E47" s="45" t="s">
        <v>21</v>
      </c>
      <c r="F47" s="56">
        <v>11952</v>
      </c>
      <c r="G47" s="56">
        <f t="shared" si="0"/>
        <v>14342.4</v>
      </c>
      <c r="H47" s="262"/>
      <c r="I47" s="291"/>
      <c r="J47" s="129"/>
    </row>
    <row r="48" spans="1:10" ht="15.75">
      <c r="A48" s="126"/>
      <c r="B48" s="52"/>
      <c r="C48" s="55"/>
      <c r="D48" s="45" t="s">
        <v>20</v>
      </c>
      <c r="E48" s="45" t="s">
        <v>24</v>
      </c>
      <c r="F48" s="56">
        <v>16907</v>
      </c>
      <c r="G48" s="56">
        <f t="shared" si="0"/>
        <v>20288.399999999998</v>
      </c>
      <c r="H48" s="262"/>
      <c r="I48" s="291"/>
      <c r="J48" s="129"/>
    </row>
    <row r="49" spans="1:10" ht="15.75">
      <c r="A49" s="126"/>
      <c r="B49" s="52"/>
      <c r="C49" s="58" t="s">
        <v>190</v>
      </c>
      <c r="D49" s="45" t="s">
        <v>20</v>
      </c>
      <c r="E49" s="45" t="s">
        <v>21</v>
      </c>
      <c r="F49" s="56">
        <v>17115</v>
      </c>
      <c r="G49" s="56">
        <f t="shared" si="0"/>
        <v>20538</v>
      </c>
      <c r="H49" s="262"/>
      <c r="I49" s="291"/>
      <c r="J49" s="129"/>
    </row>
    <row r="50" spans="1:10" ht="15.75">
      <c r="A50" s="126"/>
      <c r="B50" s="52"/>
      <c r="C50" s="55"/>
      <c r="D50" s="45" t="s">
        <v>20</v>
      </c>
      <c r="E50" s="45" t="s">
        <v>24</v>
      </c>
      <c r="F50" s="56">
        <v>24238</v>
      </c>
      <c r="G50" s="56">
        <f t="shared" si="0"/>
        <v>29085.6</v>
      </c>
      <c r="H50" s="262"/>
      <c r="I50" s="291"/>
      <c r="J50" s="129"/>
    </row>
    <row r="51" spans="1:10" ht="15.75">
      <c r="A51" s="126"/>
      <c r="B51" s="52"/>
      <c r="C51" s="58" t="s">
        <v>191</v>
      </c>
      <c r="D51" s="45" t="s">
        <v>20</v>
      </c>
      <c r="E51" s="45" t="s">
        <v>21</v>
      </c>
      <c r="F51" s="56">
        <v>22277</v>
      </c>
      <c r="G51" s="56">
        <f t="shared" si="0"/>
        <v>26732.399999999998</v>
      </c>
      <c r="H51" s="262"/>
      <c r="I51" s="291"/>
      <c r="J51" s="129"/>
    </row>
    <row r="52" spans="1:10" ht="15.75">
      <c r="A52" s="126"/>
      <c r="B52" s="52"/>
      <c r="C52" s="55"/>
      <c r="D52" s="45" t="s">
        <v>20</v>
      </c>
      <c r="E52" s="45" t="s">
        <v>24</v>
      </c>
      <c r="F52" s="56">
        <v>31570</v>
      </c>
      <c r="G52" s="56">
        <f t="shared" si="0"/>
        <v>37884</v>
      </c>
      <c r="H52" s="262"/>
      <c r="I52" s="291"/>
      <c r="J52" s="129"/>
    </row>
    <row r="53" spans="1:10" ht="15.75">
      <c r="A53" s="126"/>
      <c r="B53" s="52"/>
      <c r="C53" s="58" t="s">
        <v>192</v>
      </c>
      <c r="D53" s="45" t="s">
        <v>20</v>
      </c>
      <c r="E53" s="45" t="s">
        <v>21</v>
      </c>
      <c r="F53" s="56">
        <v>27439</v>
      </c>
      <c r="G53" s="56">
        <f t="shared" si="0"/>
        <v>32926.799999999996</v>
      </c>
      <c r="H53" s="262"/>
      <c r="I53" s="291"/>
      <c r="J53" s="129"/>
    </row>
    <row r="54" spans="1:10" ht="15.75">
      <c r="A54" s="126"/>
      <c r="B54" s="52"/>
      <c r="C54" s="55"/>
      <c r="D54" s="45" t="s">
        <v>20</v>
      </c>
      <c r="E54" s="45" t="s">
        <v>24</v>
      </c>
      <c r="F54" s="56">
        <v>38900</v>
      </c>
      <c r="G54" s="56">
        <f t="shared" si="0"/>
        <v>46680</v>
      </c>
      <c r="H54" s="262"/>
      <c r="I54" s="291"/>
      <c r="J54" s="129"/>
    </row>
    <row r="55" spans="1:10" ht="15.75">
      <c r="A55" s="126"/>
      <c r="B55" s="52"/>
      <c r="C55" s="58" t="s">
        <v>193</v>
      </c>
      <c r="D55" s="45" t="s">
        <v>20</v>
      </c>
      <c r="E55" s="45" t="s">
        <v>21</v>
      </c>
      <c r="F55" s="56">
        <v>32602</v>
      </c>
      <c r="G55" s="56">
        <f t="shared" si="0"/>
        <v>39122.4</v>
      </c>
      <c r="H55" s="262"/>
      <c r="I55" s="291"/>
      <c r="J55" s="129"/>
    </row>
    <row r="56" spans="1:10" ht="15.75">
      <c r="A56" s="126"/>
      <c r="B56" s="52"/>
      <c r="C56" s="55"/>
      <c r="D56" s="45" t="s">
        <v>20</v>
      </c>
      <c r="E56" s="45" t="s">
        <v>24</v>
      </c>
      <c r="F56" s="56">
        <v>46230</v>
      </c>
      <c r="G56" s="56">
        <f t="shared" si="0"/>
        <v>55476</v>
      </c>
      <c r="H56" s="262"/>
      <c r="I56" s="291"/>
      <c r="J56" s="129"/>
    </row>
    <row r="57" spans="1:10" ht="15.75">
      <c r="A57" s="126"/>
      <c r="B57" s="52"/>
      <c r="C57" s="58" t="s">
        <v>194</v>
      </c>
      <c r="D57" s="45" t="s">
        <v>20</v>
      </c>
      <c r="E57" s="45" t="s">
        <v>21</v>
      </c>
      <c r="F57" s="56">
        <v>37765</v>
      </c>
      <c r="G57" s="56">
        <f t="shared" si="0"/>
        <v>45318</v>
      </c>
      <c r="H57" s="262"/>
      <c r="I57" s="291"/>
      <c r="J57" s="129"/>
    </row>
    <row r="58" spans="1:10" ht="15.75">
      <c r="A58" s="126"/>
      <c r="B58" s="52"/>
      <c r="C58" s="55"/>
      <c r="D58" s="45" t="s">
        <v>20</v>
      </c>
      <c r="E58" s="45" t="s">
        <v>24</v>
      </c>
      <c r="F58" s="56">
        <v>53562</v>
      </c>
      <c r="G58" s="56">
        <f t="shared" si="0"/>
        <v>64274.399999999994</v>
      </c>
      <c r="H58" s="262"/>
      <c r="I58" s="291"/>
      <c r="J58" s="129"/>
    </row>
    <row r="59" spans="1:10" ht="15.75">
      <c r="A59" s="126"/>
      <c r="B59" s="52"/>
      <c r="C59" s="58" t="s">
        <v>195</v>
      </c>
      <c r="D59" s="45" t="s">
        <v>20</v>
      </c>
      <c r="E59" s="45" t="s">
        <v>21</v>
      </c>
      <c r="F59" s="56">
        <v>42927</v>
      </c>
      <c r="G59" s="56">
        <f t="shared" si="0"/>
        <v>51512.4</v>
      </c>
      <c r="H59" s="262"/>
      <c r="I59" s="291"/>
      <c r="J59" s="129"/>
    </row>
    <row r="60" spans="1:10" ht="15.75">
      <c r="A60" s="126"/>
      <c r="B60" s="52"/>
      <c r="C60" s="55"/>
      <c r="D60" s="45" t="s">
        <v>20</v>
      </c>
      <c r="E60" s="45" t="s">
        <v>24</v>
      </c>
      <c r="F60" s="56">
        <v>60892</v>
      </c>
      <c r="G60" s="56">
        <f t="shared" si="0"/>
        <v>73070.4</v>
      </c>
      <c r="H60" s="262"/>
      <c r="I60" s="291"/>
      <c r="J60" s="129"/>
    </row>
    <row r="61" spans="1:10" ht="15.75">
      <c r="A61" s="126"/>
      <c r="B61" s="52"/>
      <c r="C61" s="58" t="s">
        <v>196</v>
      </c>
      <c r="D61" s="45" t="s">
        <v>20</v>
      </c>
      <c r="E61" s="45" t="s">
        <v>21</v>
      </c>
      <c r="F61" s="56">
        <v>48089</v>
      </c>
      <c r="G61" s="56">
        <f t="shared" si="0"/>
        <v>57706.799999999996</v>
      </c>
      <c r="H61" s="262"/>
      <c r="I61" s="291"/>
      <c r="J61" s="129"/>
    </row>
    <row r="62" spans="1:10" ht="15.75">
      <c r="A62" s="126"/>
      <c r="B62" s="52"/>
      <c r="C62" s="55"/>
      <c r="D62" s="45" t="s">
        <v>20</v>
      </c>
      <c r="E62" s="45" t="s">
        <v>24</v>
      </c>
      <c r="F62" s="56">
        <v>68224</v>
      </c>
      <c r="G62" s="56">
        <f t="shared" si="0"/>
        <v>81868.8</v>
      </c>
      <c r="H62" s="262"/>
      <c r="I62" s="291"/>
      <c r="J62" s="129"/>
    </row>
    <row r="63" spans="1:10" ht="15.75">
      <c r="A63" s="126"/>
      <c r="B63" s="52"/>
      <c r="C63" s="58" t="s">
        <v>197</v>
      </c>
      <c r="D63" s="45" t="s">
        <v>20</v>
      </c>
      <c r="E63" s="45" t="s">
        <v>21</v>
      </c>
      <c r="F63" s="56">
        <v>53252</v>
      </c>
      <c r="G63" s="56">
        <f t="shared" si="0"/>
        <v>63902.399999999994</v>
      </c>
      <c r="H63" s="262"/>
      <c r="I63" s="291"/>
      <c r="J63" s="129"/>
    </row>
    <row r="64" spans="1:10" ht="15.75">
      <c r="A64" s="126"/>
      <c r="B64" s="52"/>
      <c r="C64" s="55"/>
      <c r="D64" s="45" t="s">
        <v>20</v>
      </c>
      <c r="E64" s="45" t="s">
        <v>24</v>
      </c>
      <c r="F64" s="56">
        <v>75554</v>
      </c>
      <c r="G64" s="56">
        <f t="shared" si="0"/>
        <v>90664.8</v>
      </c>
      <c r="H64" s="262"/>
      <c r="I64" s="291"/>
      <c r="J64" s="129"/>
    </row>
    <row r="65" spans="1:10" ht="15.75">
      <c r="A65" s="126"/>
      <c r="B65" s="52"/>
      <c r="C65" s="58" t="s">
        <v>198</v>
      </c>
      <c r="D65" s="45" t="s">
        <v>20</v>
      </c>
      <c r="E65" s="45" t="s">
        <v>21</v>
      </c>
      <c r="F65" s="56">
        <v>60627</v>
      </c>
      <c r="G65" s="56">
        <f t="shared" si="0"/>
        <v>72752.4</v>
      </c>
      <c r="H65" s="262"/>
      <c r="I65" s="291"/>
      <c r="J65" s="129"/>
    </row>
    <row r="66" spans="1:10" ht="15.75">
      <c r="A66" s="126"/>
      <c r="B66" s="52"/>
      <c r="C66" s="55"/>
      <c r="D66" s="45" t="s">
        <v>20</v>
      </c>
      <c r="E66" s="45" t="s">
        <v>24</v>
      </c>
      <c r="F66" s="56">
        <v>86026</v>
      </c>
      <c r="G66" s="56">
        <f t="shared" si="0"/>
        <v>103231.2</v>
      </c>
      <c r="H66" s="262"/>
      <c r="I66" s="291"/>
      <c r="J66" s="129"/>
    </row>
    <row r="67" spans="1:10" ht="15.75">
      <c r="A67" s="126"/>
      <c r="B67" s="52"/>
      <c r="C67" s="58" t="s">
        <v>199</v>
      </c>
      <c r="D67" s="45" t="s">
        <v>20</v>
      </c>
      <c r="E67" s="45" t="s">
        <v>21</v>
      </c>
      <c r="F67" s="56">
        <v>68002</v>
      </c>
      <c r="G67" s="56">
        <f t="shared" si="0"/>
        <v>81602.4</v>
      </c>
      <c r="H67" s="262"/>
      <c r="I67" s="291"/>
      <c r="J67" s="129"/>
    </row>
    <row r="68" spans="1:10" ht="15.75">
      <c r="A68" s="126"/>
      <c r="B68" s="52"/>
      <c r="C68" s="55"/>
      <c r="D68" s="45" t="s">
        <v>20</v>
      </c>
      <c r="E68" s="45" t="s">
        <v>24</v>
      </c>
      <c r="F68" s="56">
        <v>96498</v>
      </c>
      <c r="G68" s="56">
        <f t="shared" si="0"/>
        <v>115797.59999999999</v>
      </c>
      <c r="H68" s="262"/>
      <c r="I68" s="291"/>
      <c r="J68" s="129"/>
    </row>
    <row r="69" spans="1:10" ht="15.75">
      <c r="A69" s="126"/>
      <c r="B69" s="52"/>
      <c r="C69" s="58" t="s">
        <v>200</v>
      </c>
      <c r="D69" s="45" t="s">
        <v>20</v>
      </c>
      <c r="E69" s="45" t="s">
        <v>21</v>
      </c>
      <c r="F69" s="56">
        <v>75377</v>
      </c>
      <c r="G69" s="56">
        <f t="shared" si="0"/>
        <v>90452.4</v>
      </c>
      <c r="H69" s="262"/>
      <c r="I69" s="291"/>
      <c r="J69" s="129"/>
    </row>
    <row r="70" spans="1:10" ht="15.75">
      <c r="A70" s="126"/>
      <c r="B70" s="52"/>
      <c r="C70" s="55"/>
      <c r="D70" s="45" t="s">
        <v>20</v>
      </c>
      <c r="E70" s="45" t="s">
        <v>24</v>
      </c>
      <c r="F70" s="56">
        <v>106970</v>
      </c>
      <c r="G70" s="56">
        <f t="shared" si="0"/>
        <v>128364</v>
      </c>
      <c r="H70" s="262"/>
      <c r="I70" s="291"/>
      <c r="J70" s="129"/>
    </row>
    <row r="71" spans="1:10" ht="15.75">
      <c r="A71" s="126"/>
      <c r="B71" s="52"/>
      <c r="C71" s="58" t="s">
        <v>201</v>
      </c>
      <c r="D71" s="45" t="s">
        <v>20</v>
      </c>
      <c r="E71" s="45" t="s">
        <v>21</v>
      </c>
      <c r="F71" s="56">
        <v>82752</v>
      </c>
      <c r="G71" s="56">
        <f t="shared" si="0"/>
        <v>99302.4</v>
      </c>
      <c r="H71" s="262"/>
      <c r="I71" s="291"/>
      <c r="J71" s="129"/>
    </row>
    <row r="72" spans="1:10" ht="15.75">
      <c r="A72" s="126"/>
      <c r="B72" s="52"/>
      <c r="C72" s="55"/>
      <c r="D72" s="45" t="s">
        <v>20</v>
      </c>
      <c r="E72" s="45" t="s">
        <v>24</v>
      </c>
      <c r="F72" s="56">
        <v>117443</v>
      </c>
      <c r="G72" s="56">
        <f t="shared" si="0"/>
        <v>140931.6</v>
      </c>
      <c r="H72" s="262"/>
      <c r="I72" s="291"/>
      <c r="J72" s="129"/>
    </row>
    <row r="73" spans="1:10" ht="15.75">
      <c r="A73" s="126"/>
      <c r="B73" s="52"/>
      <c r="C73" s="58" t="s">
        <v>202</v>
      </c>
      <c r="D73" s="45" t="s">
        <v>20</v>
      </c>
      <c r="E73" s="45" t="s">
        <v>21</v>
      </c>
      <c r="F73" s="56">
        <v>90127</v>
      </c>
      <c r="G73" s="56">
        <f t="shared" si="0"/>
        <v>108152.4</v>
      </c>
      <c r="H73" s="262"/>
      <c r="I73" s="291"/>
      <c r="J73" s="129"/>
    </row>
    <row r="74" spans="1:10" ht="15.75">
      <c r="A74" s="126"/>
      <c r="B74" s="52"/>
      <c r="C74" s="55"/>
      <c r="D74" s="45" t="s">
        <v>20</v>
      </c>
      <c r="E74" s="45" t="s">
        <v>24</v>
      </c>
      <c r="F74" s="56">
        <v>127916</v>
      </c>
      <c r="G74" s="56">
        <f t="shared" si="0"/>
        <v>153499.19999999998</v>
      </c>
      <c r="H74" s="736"/>
      <c r="I74" s="291"/>
      <c r="J74" s="292"/>
    </row>
    <row r="75" spans="1:10" ht="15.75">
      <c r="A75" s="126"/>
      <c r="B75" s="52"/>
      <c r="C75" s="58" t="s">
        <v>203</v>
      </c>
      <c r="D75" s="45" t="s">
        <v>20</v>
      </c>
      <c r="E75" s="45" t="s">
        <v>21</v>
      </c>
      <c r="F75" s="56">
        <v>2399</v>
      </c>
      <c r="G75" s="56">
        <f>F75*1.18</f>
        <v>2830.8199999999997</v>
      </c>
      <c r="H75" s="65"/>
      <c r="J75" s="129"/>
    </row>
    <row r="76" spans="1:10" ht="15.75">
      <c r="A76" s="128"/>
      <c r="B76" s="60"/>
      <c r="C76" s="55"/>
      <c r="D76" s="45" t="s">
        <v>20</v>
      </c>
      <c r="E76" s="45" t="s">
        <v>24</v>
      </c>
      <c r="F76" s="56">
        <v>2561</v>
      </c>
      <c r="G76" s="56">
        <f>F76*1.18</f>
        <v>3021.98</v>
      </c>
      <c r="H76" s="66"/>
      <c r="J76" s="129"/>
    </row>
    <row r="77" spans="1:8" ht="15.75">
      <c r="A77" s="125" t="s">
        <v>50</v>
      </c>
      <c r="B77" s="62" t="s">
        <v>51</v>
      </c>
      <c r="C77" s="49" t="s">
        <v>204</v>
      </c>
      <c r="D77" s="50"/>
      <c r="E77" s="50"/>
      <c r="F77" s="50"/>
      <c r="G77" s="50"/>
      <c r="H77" s="51"/>
    </row>
    <row r="78" spans="1:8" ht="15.75">
      <c r="A78" s="126"/>
      <c r="B78" s="75"/>
      <c r="C78" s="63" t="s">
        <v>53</v>
      </c>
      <c r="D78" s="63" t="s">
        <v>20</v>
      </c>
      <c r="E78" s="45" t="s">
        <v>21</v>
      </c>
      <c r="F78" s="95">
        <v>4683</v>
      </c>
      <c r="G78" s="95">
        <f aca="true" t="shared" si="1" ref="G78:G85">F78*1.2</f>
        <v>5619.599999999999</v>
      </c>
      <c r="H78" s="737" t="s">
        <v>54</v>
      </c>
    </row>
    <row r="79" spans="1:8" ht="15.75">
      <c r="A79" s="126"/>
      <c r="B79" s="75"/>
      <c r="C79" s="63"/>
      <c r="D79" s="63"/>
      <c r="E79" s="45" t="s">
        <v>21</v>
      </c>
      <c r="F79" s="95">
        <v>5273</v>
      </c>
      <c r="G79" s="95">
        <f t="shared" si="1"/>
        <v>6327.599999999999</v>
      </c>
      <c r="H79" s="737" t="s">
        <v>55</v>
      </c>
    </row>
    <row r="80" spans="1:8" ht="15.75">
      <c r="A80" s="126"/>
      <c r="B80" s="75"/>
      <c r="C80" s="63"/>
      <c r="D80" s="63"/>
      <c r="E80" s="45" t="s">
        <v>24</v>
      </c>
      <c r="F80" s="95">
        <v>5365</v>
      </c>
      <c r="G80" s="95">
        <f t="shared" si="1"/>
        <v>6438</v>
      </c>
      <c r="H80" s="737"/>
    </row>
    <row r="81" spans="1:8" ht="15.75">
      <c r="A81" s="126"/>
      <c r="B81" s="75"/>
      <c r="C81" s="63" t="s">
        <v>56</v>
      </c>
      <c r="D81" s="63" t="s">
        <v>20</v>
      </c>
      <c r="E81" s="45" t="s">
        <v>21</v>
      </c>
      <c r="F81" s="95">
        <v>3267</v>
      </c>
      <c r="G81" s="95">
        <f t="shared" si="1"/>
        <v>3920.3999999999996</v>
      </c>
      <c r="H81" s="737" t="s">
        <v>54</v>
      </c>
    </row>
    <row r="82" spans="1:8" ht="15.75">
      <c r="A82" s="126"/>
      <c r="B82" s="75"/>
      <c r="C82" s="63"/>
      <c r="D82" s="63"/>
      <c r="E82" s="45" t="s">
        <v>21</v>
      </c>
      <c r="F82" s="95">
        <v>3857</v>
      </c>
      <c r="G82" s="95">
        <f t="shared" si="1"/>
        <v>4628.4</v>
      </c>
      <c r="H82" s="737" t="s">
        <v>55</v>
      </c>
    </row>
    <row r="83" spans="1:8" ht="15.75">
      <c r="A83" s="126"/>
      <c r="B83" s="75"/>
      <c r="C83" s="63"/>
      <c r="D83" s="63"/>
      <c r="E83" s="45" t="s">
        <v>24</v>
      </c>
      <c r="F83" s="95">
        <v>3857</v>
      </c>
      <c r="G83" s="95">
        <f t="shared" si="1"/>
        <v>4628.4</v>
      </c>
      <c r="H83" s="737"/>
    </row>
    <row r="84" spans="1:8" ht="15.75">
      <c r="A84" s="126"/>
      <c r="B84" s="75"/>
      <c r="C84" s="63" t="s">
        <v>56</v>
      </c>
      <c r="D84" s="63" t="s">
        <v>20</v>
      </c>
      <c r="E84" s="45" t="s">
        <v>21</v>
      </c>
      <c r="F84" s="95">
        <v>2945</v>
      </c>
      <c r="G84" s="95">
        <f t="shared" si="1"/>
        <v>3534</v>
      </c>
      <c r="H84" s="737" t="s">
        <v>205</v>
      </c>
    </row>
    <row r="85" spans="1:8" ht="15.75">
      <c r="A85" s="128"/>
      <c r="B85" s="76"/>
      <c r="C85" s="63"/>
      <c r="D85" s="63"/>
      <c r="E85" s="45" t="s">
        <v>24</v>
      </c>
      <c r="F85" s="95">
        <v>3037</v>
      </c>
      <c r="G85" s="95">
        <f t="shared" si="1"/>
        <v>3644.4</v>
      </c>
      <c r="H85" s="737" t="s">
        <v>205</v>
      </c>
    </row>
    <row r="86" spans="1:8" ht="15.75">
      <c r="A86" s="136" t="s">
        <v>58</v>
      </c>
      <c r="B86" s="90" t="s">
        <v>59</v>
      </c>
      <c r="C86" s="63" t="s">
        <v>60</v>
      </c>
      <c r="D86" s="63" t="s">
        <v>20</v>
      </c>
      <c r="E86" s="45" t="s">
        <v>21</v>
      </c>
      <c r="F86" s="63" t="s">
        <v>22</v>
      </c>
      <c r="G86" s="63"/>
      <c r="H86" s="733"/>
    </row>
    <row r="87" spans="1:8" ht="15.75">
      <c r="A87" s="136"/>
      <c r="B87" s="90"/>
      <c r="C87" s="63"/>
      <c r="D87" s="63"/>
      <c r="E87" s="45" t="s">
        <v>24</v>
      </c>
      <c r="F87" s="63" t="s">
        <v>22</v>
      </c>
      <c r="G87" s="63"/>
      <c r="H87" s="734"/>
    </row>
    <row r="88" spans="1:8" ht="15.75">
      <c r="A88" s="136"/>
      <c r="B88" s="90"/>
      <c r="C88" s="63"/>
      <c r="D88" s="45" t="s">
        <v>25</v>
      </c>
      <c r="E88" s="45" t="s">
        <v>25</v>
      </c>
      <c r="F88" s="63" t="s">
        <v>22</v>
      </c>
      <c r="G88" s="63"/>
      <c r="H88" s="735"/>
    </row>
    <row r="89" spans="1:8" ht="15.75">
      <c r="A89" s="89" t="s">
        <v>61</v>
      </c>
      <c r="B89" s="90"/>
      <c r="C89" s="90"/>
      <c r="D89" s="90"/>
      <c r="E89" s="90"/>
      <c r="F89" s="90"/>
      <c r="G89" s="90"/>
      <c r="H89" s="278"/>
    </row>
    <row r="90" spans="1:8" ht="15.75">
      <c r="A90" s="89" t="s">
        <v>62</v>
      </c>
      <c r="B90" s="90"/>
      <c r="C90" s="90" t="s">
        <v>63</v>
      </c>
      <c r="D90" s="90"/>
      <c r="E90" s="90"/>
      <c r="F90" s="90"/>
      <c r="G90" s="90"/>
      <c r="H90" s="278"/>
    </row>
    <row r="91" spans="1:8" ht="15.75">
      <c r="A91" s="136" t="s">
        <v>206</v>
      </c>
      <c r="B91" s="90" t="s">
        <v>64</v>
      </c>
      <c r="C91" s="63" t="s">
        <v>65</v>
      </c>
      <c r="D91" s="63" t="s">
        <v>20</v>
      </c>
      <c r="E91" s="67" t="s">
        <v>21</v>
      </c>
      <c r="F91" s="63" t="s">
        <v>22</v>
      </c>
      <c r="G91" s="63"/>
      <c r="H91" s="733"/>
    </row>
    <row r="92" spans="1:8" ht="15.75">
      <c r="A92" s="136"/>
      <c r="B92" s="90"/>
      <c r="C92" s="63"/>
      <c r="D92" s="63"/>
      <c r="E92" s="67" t="s">
        <v>24</v>
      </c>
      <c r="F92" s="63" t="s">
        <v>22</v>
      </c>
      <c r="G92" s="63"/>
      <c r="H92" s="734"/>
    </row>
    <row r="93" spans="1:8" ht="15.75">
      <c r="A93" s="136"/>
      <c r="B93" s="90"/>
      <c r="C93" s="63"/>
      <c r="D93" s="45" t="s">
        <v>25</v>
      </c>
      <c r="E93" s="45"/>
      <c r="F93" s="63" t="s">
        <v>22</v>
      </c>
      <c r="G93" s="63"/>
      <c r="H93" s="735"/>
    </row>
    <row r="94" spans="1:8" ht="15.75">
      <c r="A94" s="125" t="s">
        <v>207</v>
      </c>
      <c r="B94" s="48" t="s">
        <v>66</v>
      </c>
      <c r="C94" s="58" t="s">
        <v>67</v>
      </c>
      <c r="D94" s="9" t="s">
        <v>68</v>
      </c>
      <c r="E94" s="194" t="s">
        <v>20</v>
      </c>
      <c r="F94" s="33" t="s">
        <v>22</v>
      </c>
      <c r="G94" s="34"/>
      <c r="H94" s="519" t="s">
        <v>208</v>
      </c>
    </row>
    <row r="95" spans="1:8" ht="15.75">
      <c r="A95" s="126"/>
      <c r="B95" s="52"/>
      <c r="C95" s="53"/>
      <c r="D95" s="9" t="s">
        <v>70</v>
      </c>
      <c r="E95" s="194" t="s">
        <v>25</v>
      </c>
      <c r="F95" s="33" t="s">
        <v>22</v>
      </c>
      <c r="G95" s="34"/>
      <c r="H95" s="736"/>
    </row>
    <row r="96" spans="1:8" ht="15.75">
      <c r="A96" s="126"/>
      <c r="B96" s="52"/>
      <c r="C96" s="53"/>
      <c r="D96" s="213" t="s">
        <v>68</v>
      </c>
      <c r="E96" s="194" t="s">
        <v>71</v>
      </c>
      <c r="F96" s="214">
        <v>134</v>
      </c>
      <c r="G96" s="214">
        <f aca="true" t="shared" si="2" ref="G96:G103">F96*1.2</f>
        <v>160.79999999999998</v>
      </c>
      <c r="H96" s="519" t="s">
        <v>73</v>
      </c>
    </row>
    <row r="97" spans="1:8" ht="15.75">
      <c r="A97" s="126"/>
      <c r="B97" s="52"/>
      <c r="C97" s="53"/>
      <c r="D97" s="213"/>
      <c r="E97" s="194" t="s">
        <v>24</v>
      </c>
      <c r="F97" s="195">
        <v>231</v>
      </c>
      <c r="G97" s="214">
        <f t="shared" si="2"/>
        <v>277.2</v>
      </c>
      <c r="H97" s="554"/>
    </row>
    <row r="98" spans="1:8" ht="15.75">
      <c r="A98" s="126"/>
      <c r="B98" s="52"/>
      <c r="C98" s="53"/>
      <c r="D98" s="9" t="s">
        <v>68</v>
      </c>
      <c r="E98" s="194" t="s">
        <v>21</v>
      </c>
      <c r="F98" s="195">
        <v>697</v>
      </c>
      <c r="G98" s="214">
        <f t="shared" si="2"/>
        <v>836.4</v>
      </c>
      <c r="H98" s="519" t="s">
        <v>209</v>
      </c>
    </row>
    <row r="99" spans="1:8" ht="15.75">
      <c r="A99" s="126"/>
      <c r="B99" s="52"/>
      <c r="C99" s="53"/>
      <c r="D99" s="9" t="s">
        <v>68</v>
      </c>
      <c r="E99" s="194" t="s">
        <v>24</v>
      </c>
      <c r="F99" s="195">
        <v>1201</v>
      </c>
      <c r="G99" s="214">
        <f t="shared" si="2"/>
        <v>1441.2</v>
      </c>
      <c r="H99" s="373"/>
    </row>
    <row r="100" spans="1:8" ht="15.75">
      <c r="A100" s="126"/>
      <c r="B100" s="52"/>
      <c r="C100" s="53"/>
      <c r="D100" s="9" t="s">
        <v>68</v>
      </c>
      <c r="E100" s="194" t="s">
        <v>21</v>
      </c>
      <c r="F100" s="195">
        <v>1045</v>
      </c>
      <c r="G100" s="214">
        <f t="shared" si="2"/>
        <v>1254</v>
      </c>
      <c r="H100" s="429" t="s">
        <v>77</v>
      </c>
    </row>
    <row r="101" spans="1:8" ht="15.75">
      <c r="A101" s="126"/>
      <c r="B101" s="52"/>
      <c r="C101" s="53"/>
      <c r="D101" s="9" t="s">
        <v>68</v>
      </c>
      <c r="E101" s="194" t="s">
        <v>24</v>
      </c>
      <c r="F101" s="195">
        <v>1802</v>
      </c>
      <c r="G101" s="214">
        <f t="shared" si="2"/>
        <v>2162.4</v>
      </c>
      <c r="H101" s="434"/>
    </row>
    <row r="102" spans="1:8" ht="63">
      <c r="A102" s="126"/>
      <c r="B102" s="52"/>
      <c r="C102" s="53"/>
      <c r="D102" s="213" t="s">
        <v>210</v>
      </c>
      <c r="E102" s="194" t="s">
        <v>25</v>
      </c>
      <c r="F102" s="216">
        <v>2112</v>
      </c>
      <c r="G102" s="214">
        <f t="shared" si="2"/>
        <v>2534.4</v>
      </c>
      <c r="H102" s="667" t="s">
        <v>211</v>
      </c>
    </row>
    <row r="103" spans="1:8" ht="63">
      <c r="A103" s="128"/>
      <c r="B103" s="60"/>
      <c r="C103" s="55"/>
      <c r="D103" s="213"/>
      <c r="E103" s="194" t="s">
        <v>25</v>
      </c>
      <c r="F103" s="216">
        <v>3168</v>
      </c>
      <c r="G103" s="214">
        <f t="shared" si="2"/>
        <v>3801.6</v>
      </c>
      <c r="H103" s="667" t="s">
        <v>212</v>
      </c>
    </row>
    <row r="104" spans="1:8" ht="15.75">
      <c r="A104" s="136" t="s">
        <v>213</v>
      </c>
      <c r="B104" s="90" t="s">
        <v>214</v>
      </c>
      <c r="C104" s="63" t="s">
        <v>80</v>
      </c>
      <c r="D104" s="63" t="s">
        <v>20</v>
      </c>
      <c r="E104" s="67" t="s">
        <v>21</v>
      </c>
      <c r="F104" s="63" t="s">
        <v>22</v>
      </c>
      <c r="G104" s="63"/>
      <c r="H104" s="733"/>
    </row>
    <row r="105" spans="1:8" ht="15.75">
      <c r="A105" s="136"/>
      <c r="B105" s="90"/>
      <c r="C105" s="63"/>
      <c r="D105" s="63"/>
      <c r="E105" s="67" t="s">
        <v>24</v>
      </c>
      <c r="F105" s="63" t="s">
        <v>22</v>
      </c>
      <c r="G105" s="63"/>
      <c r="H105" s="734"/>
    </row>
    <row r="106" spans="1:8" ht="15.75">
      <c r="A106" s="136"/>
      <c r="B106" s="90"/>
      <c r="C106" s="63"/>
      <c r="D106" s="45" t="s">
        <v>25</v>
      </c>
      <c r="E106" s="67"/>
      <c r="F106" s="63" t="s">
        <v>22</v>
      </c>
      <c r="G106" s="63"/>
      <c r="H106" s="735"/>
    </row>
    <row r="107" spans="1:8" ht="15.75">
      <c r="A107" s="89" t="s">
        <v>81</v>
      </c>
      <c r="B107" s="90"/>
      <c r="C107" s="90" t="s">
        <v>82</v>
      </c>
      <c r="D107" s="90"/>
      <c r="E107" s="90"/>
      <c r="F107" s="90"/>
      <c r="G107" s="90"/>
      <c r="H107" s="278"/>
    </row>
    <row r="108" spans="1:8" s="131" customFormat="1" ht="15.75">
      <c r="A108" s="269">
        <v>10</v>
      </c>
      <c r="B108" s="68" t="s">
        <v>83</v>
      </c>
      <c r="C108" s="78" t="s">
        <v>84</v>
      </c>
      <c r="D108" s="79"/>
      <c r="E108" s="79"/>
      <c r="F108" s="79"/>
      <c r="G108" s="79"/>
      <c r="H108" s="738"/>
    </row>
    <row r="109" spans="1:8" s="131" customFormat="1" ht="47.25">
      <c r="A109" s="270"/>
      <c r="B109" s="127"/>
      <c r="C109" s="144" t="s">
        <v>215</v>
      </c>
      <c r="D109" s="54" t="s">
        <v>87</v>
      </c>
      <c r="E109" s="84" t="s">
        <v>21</v>
      </c>
      <c r="F109" s="87">
        <v>869</v>
      </c>
      <c r="G109" s="95">
        <f>F109*1.2</f>
        <v>1042.8</v>
      </c>
      <c r="H109" s="739" t="s">
        <v>216</v>
      </c>
    </row>
    <row r="110" spans="1:8" s="131" customFormat="1" ht="47.25">
      <c r="A110" s="270"/>
      <c r="B110" s="127"/>
      <c r="C110" s="91"/>
      <c r="D110" s="57"/>
      <c r="E110" s="86"/>
      <c r="F110" s="87">
        <v>1164</v>
      </c>
      <c r="G110" s="95">
        <f>F110*1.2</f>
        <v>1396.8</v>
      </c>
      <c r="H110" s="130" t="s">
        <v>217</v>
      </c>
    </row>
    <row r="111" spans="1:8" s="131" customFormat="1" ht="47.25">
      <c r="A111" s="270"/>
      <c r="B111" s="127"/>
      <c r="C111" s="47" t="s">
        <v>91</v>
      </c>
      <c r="D111" s="61"/>
      <c r="E111" s="61"/>
      <c r="F111" s="87">
        <v>708</v>
      </c>
      <c r="G111" s="95">
        <f>F111*1.2</f>
        <v>849.6</v>
      </c>
      <c r="H111" s="96"/>
    </row>
    <row r="112" spans="1:8" s="131" customFormat="1" ht="47.25">
      <c r="A112" s="270"/>
      <c r="B112" s="127"/>
      <c r="C112" s="94" t="s">
        <v>218</v>
      </c>
      <c r="D112" s="72" t="s">
        <v>87</v>
      </c>
      <c r="E112" s="73" t="s">
        <v>24</v>
      </c>
      <c r="F112" s="87">
        <v>1164</v>
      </c>
      <c r="G112" s="95">
        <f>F112*1.2</f>
        <v>1396.8</v>
      </c>
      <c r="H112" s="96"/>
    </row>
    <row r="113" spans="1:8" s="131" customFormat="1" ht="47.25">
      <c r="A113" s="270"/>
      <c r="B113" s="127"/>
      <c r="C113" s="47" t="s">
        <v>91</v>
      </c>
      <c r="D113" s="72"/>
      <c r="E113" s="73"/>
      <c r="F113" s="87">
        <v>754</v>
      </c>
      <c r="G113" s="95">
        <f>F113*1.2</f>
        <v>904.8</v>
      </c>
      <c r="H113" s="96"/>
    </row>
    <row r="114" spans="1:8" s="131" customFormat="1" ht="15.75">
      <c r="A114" s="269">
        <v>11</v>
      </c>
      <c r="B114" s="571" t="s">
        <v>93</v>
      </c>
      <c r="C114" s="78" t="s">
        <v>94</v>
      </c>
      <c r="D114" s="79"/>
      <c r="E114" s="79"/>
      <c r="F114" s="79"/>
      <c r="G114" s="79"/>
      <c r="H114" s="735"/>
    </row>
    <row r="115" spans="1:8" s="131" customFormat="1" ht="15.75">
      <c r="A115" s="257"/>
      <c r="B115" s="52"/>
      <c r="C115" s="81" t="s">
        <v>95</v>
      </c>
      <c r="D115" s="54" t="s">
        <v>96</v>
      </c>
      <c r="E115" s="67" t="s">
        <v>219</v>
      </c>
      <c r="F115" s="67">
        <v>172</v>
      </c>
      <c r="G115" s="95">
        <f>F115*1.2</f>
        <v>206.4</v>
      </c>
      <c r="H115" s="733" t="s">
        <v>220</v>
      </c>
    </row>
    <row r="116" spans="1:17" s="143" customFormat="1" ht="15.75">
      <c r="A116" s="257"/>
      <c r="B116" s="52"/>
      <c r="C116" s="82"/>
      <c r="D116" s="57"/>
      <c r="E116" s="67" t="s">
        <v>221</v>
      </c>
      <c r="F116" s="87">
        <v>343</v>
      </c>
      <c r="G116" s="95">
        <f>F116*1.2</f>
        <v>411.59999999999997</v>
      </c>
      <c r="H116" s="735"/>
      <c r="I116" s="131"/>
      <c r="J116" s="131"/>
      <c r="K116" s="131"/>
      <c r="L116" s="131"/>
      <c r="M116" s="131"/>
      <c r="N116" s="131"/>
      <c r="O116" s="131"/>
      <c r="P116" s="131"/>
      <c r="Q116" s="131"/>
    </row>
    <row r="117" spans="1:17" s="143" customFormat="1" ht="15.75">
      <c r="A117" s="257"/>
      <c r="B117" s="52"/>
      <c r="C117" s="81" t="s">
        <v>99</v>
      </c>
      <c r="D117" s="57"/>
      <c r="E117" s="67" t="s">
        <v>219</v>
      </c>
      <c r="F117" s="216">
        <v>2129</v>
      </c>
      <c r="G117" s="214">
        <f>F117*1.2</f>
        <v>2554.7999999999997</v>
      </c>
      <c r="H117" s="733" t="s">
        <v>222</v>
      </c>
      <c r="I117" s="131"/>
      <c r="J117" s="131"/>
      <c r="K117" s="131"/>
      <c r="L117" s="131"/>
      <c r="M117" s="131"/>
      <c r="N117" s="131"/>
      <c r="O117" s="131"/>
      <c r="P117" s="131"/>
      <c r="Q117" s="131"/>
    </row>
    <row r="118" spans="1:17" s="143" customFormat="1" ht="15.75">
      <c r="A118" s="258"/>
      <c r="B118" s="52"/>
      <c r="C118" s="76"/>
      <c r="D118" s="61"/>
      <c r="E118" s="67" t="s">
        <v>24</v>
      </c>
      <c r="F118" s="194">
        <v>6363</v>
      </c>
      <c r="G118" s="214">
        <f>F118*1.2</f>
        <v>7635.599999999999</v>
      </c>
      <c r="H118" s="735"/>
      <c r="I118" s="131"/>
      <c r="J118" s="131"/>
      <c r="K118" s="131"/>
      <c r="L118" s="131"/>
      <c r="M118" s="131"/>
      <c r="N118" s="131"/>
      <c r="O118" s="131"/>
      <c r="P118" s="131"/>
      <c r="Q118" s="131"/>
    </row>
    <row r="119" spans="1:17" s="143" customFormat="1" ht="31.5">
      <c r="A119" s="740">
        <v>12</v>
      </c>
      <c r="B119" s="572" t="s">
        <v>223</v>
      </c>
      <c r="C119" s="573" t="s">
        <v>224</v>
      </c>
      <c r="D119" s="80" t="s">
        <v>225</v>
      </c>
      <c r="E119" s="80" t="s">
        <v>105</v>
      </c>
      <c r="F119" s="87">
        <v>667</v>
      </c>
      <c r="G119" s="95">
        <f>F119*1.2</f>
        <v>800.4</v>
      </c>
      <c r="H119" s="737" t="s">
        <v>226</v>
      </c>
      <c r="I119" s="131"/>
      <c r="J119" s="131"/>
      <c r="K119" s="131"/>
      <c r="L119" s="131"/>
      <c r="M119" s="131"/>
      <c r="N119" s="131"/>
      <c r="O119" s="131"/>
      <c r="P119" s="131"/>
      <c r="Q119" s="131"/>
    </row>
    <row r="120" spans="1:17" s="143" customFormat="1" ht="31.5">
      <c r="A120" s="741"/>
      <c r="B120" s="61"/>
      <c r="C120" s="61"/>
      <c r="D120" s="80" t="s">
        <v>225</v>
      </c>
      <c r="E120" s="80" t="s">
        <v>105</v>
      </c>
      <c r="F120" s="87">
        <v>250</v>
      </c>
      <c r="G120" s="95">
        <f>F120*1.2</f>
        <v>300</v>
      </c>
      <c r="H120" s="737" t="s">
        <v>227</v>
      </c>
      <c r="I120" s="131"/>
      <c r="J120" s="131"/>
      <c r="K120" s="131"/>
      <c r="L120" s="131"/>
      <c r="M120" s="131"/>
      <c r="N120" s="131"/>
      <c r="O120" s="131"/>
      <c r="P120" s="131"/>
      <c r="Q120" s="131"/>
    </row>
    <row r="121" spans="1:17" s="143" customFormat="1" ht="31.5">
      <c r="A121" s="138">
        <v>13</v>
      </c>
      <c r="B121" s="77" t="s">
        <v>107</v>
      </c>
      <c r="C121" s="80" t="s">
        <v>108</v>
      </c>
      <c r="D121" s="80" t="s">
        <v>109</v>
      </c>
      <c r="E121" s="85" t="s">
        <v>105</v>
      </c>
      <c r="F121" s="67">
        <v>415</v>
      </c>
      <c r="G121" s="95">
        <f>F121*1.2</f>
        <v>498</v>
      </c>
      <c r="H121" s="742" t="s">
        <v>228</v>
      </c>
      <c r="I121" s="131"/>
      <c r="J121" s="131"/>
      <c r="K121" s="131"/>
      <c r="L121" s="131"/>
      <c r="M121" s="131"/>
      <c r="N121" s="131"/>
      <c r="O121" s="131"/>
      <c r="P121" s="131"/>
      <c r="Q121" s="131"/>
    </row>
    <row r="122" spans="1:17" s="143" customFormat="1" ht="31.5">
      <c r="A122" s="138">
        <v>14</v>
      </c>
      <c r="B122" s="62" t="s">
        <v>116</v>
      </c>
      <c r="C122" s="317" t="s">
        <v>229</v>
      </c>
      <c r="D122" s="317" t="s">
        <v>118</v>
      </c>
      <c r="E122" s="194"/>
      <c r="F122" s="195">
        <v>1148</v>
      </c>
      <c r="G122" s="194">
        <f>SUM(F122*1.2)</f>
        <v>1377.6</v>
      </c>
      <c r="H122" s="132" t="s">
        <v>230</v>
      </c>
      <c r="I122" s="131"/>
      <c r="J122" s="131"/>
      <c r="K122" s="131"/>
      <c r="L122" s="131"/>
      <c r="M122" s="131"/>
      <c r="N122" s="131"/>
      <c r="O122" s="131"/>
      <c r="P122" s="131"/>
      <c r="Q122" s="131"/>
    </row>
    <row r="123" spans="1:17" s="143" customFormat="1" ht="15.75">
      <c r="A123" s="133">
        <v>15</v>
      </c>
      <c r="B123" s="48" t="s">
        <v>231</v>
      </c>
      <c r="C123" s="74" t="s">
        <v>232</v>
      </c>
      <c r="D123" s="279" t="s">
        <v>118</v>
      </c>
      <c r="E123" s="73"/>
      <c r="F123" s="67">
        <v>677</v>
      </c>
      <c r="G123" s="95">
        <f>F123*1.2</f>
        <v>812.4</v>
      </c>
      <c r="H123" s="96" t="s">
        <v>233</v>
      </c>
      <c r="I123" s="131"/>
      <c r="J123" s="131"/>
      <c r="K123" s="131"/>
      <c r="L123" s="131"/>
      <c r="M123" s="131"/>
      <c r="N123" s="131"/>
      <c r="O123" s="131"/>
      <c r="P123" s="131"/>
      <c r="Q123" s="131"/>
    </row>
    <row r="124" spans="1:17" s="143" customFormat="1" ht="15.75">
      <c r="A124" s="134"/>
      <c r="B124" s="60"/>
      <c r="C124" s="76"/>
      <c r="D124" s="279"/>
      <c r="E124" s="73"/>
      <c r="F124" s="194">
        <v>1141</v>
      </c>
      <c r="G124" s="214">
        <f>F124*1.2</f>
        <v>1369.2</v>
      </c>
      <c r="H124" s="96" t="s">
        <v>234</v>
      </c>
      <c r="I124" s="131"/>
      <c r="J124" s="131"/>
      <c r="K124" s="131"/>
      <c r="L124" s="131"/>
      <c r="M124" s="131"/>
      <c r="N124" s="131"/>
      <c r="O124" s="131"/>
      <c r="P124" s="131"/>
      <c r="Q124" s="131"/>
    </row>
    <row r="125" spans="1:17" s="143" customFormat="1" ht="31.5">
      <c r="A125" s="137">
        <v>16</v>
      </c>
      <c r="B125" s="48" t="s">
        <v>122</v>
      </c>
      <c r="C125" s="74" t="s">
        <v>235</v>
      </c>
      <c r="D125" s="279" t="s">
        <v>118</v>
      </c>
      <c r="E125" s="73"/>
      <c r="F125" s="67">
        <v>233</v>
      </c>
      <c r="G125" s="95">
        <f>F125*1.2</f>
        <v>279.59999999999997</v>
      </c>
      <c r="H125" s="737" t="s">
        <v>236</v>
      </c>
      <c r="I125" s="131"/>
      <c r="J125" s="131"/>
      <c r="K125" s="131"/>
      <c r="L125" s="131"/>
      <c r="M125" s="131"/>
      <c r="N125" s="131"/>
      <c r="O125" s="131"/>
      <c r="P125" s="131"/>
      <c r="Q125" s="131"/>
    </row>
    <row r="126" spans="1:17" s="143" customFormat="1" ht="15.75">
      <c r="A126" s="133"/>
      <c r="B126" s="52"/>
      <c r="C126" s="75"/>
      <c r="D126" s="279"/>
      <c r="E126" s="73"/>
      <c r="F126" s="73" t="s">
        <v>22</v>
      </c>
      <c r="G126" s="73"/>
      <c r="H126" s="742" t="s">
        <v>237</v>
      </c>
      <c r="I126" s="131"/>
      <c r="J126" s="131"/>
      <c r="K126" s="131"/>
      <c r="L126" s="131"/>
      <c r="M126" s="131"/>
      <c r="N126" s="131"/>
      <c r="O126" s="131"/>
      <c r="P126" s="131"/>
      <c r="Q126" s="131"/>
    </row>
    <row r="127" spans="1:17" s="143" customFormat="1" ht="63">
      <c r="A127" s="134"/>
      <c r="B127" s="60"/>
      <c r="C127" s="76"/>
      <c r="D127" s="174" t="s">
        <v>118</v>
      </c>
      <c r="E127" s="174"/>
      <c r="F127" s="555" t="s">
        <v>126</v>
      </c>
      <c r="G127" s="556"/>
      <c r="H127" s="234" t="s">
        <v>128</v>
      </c>
      <c r="I127" s="131"/>
      <c r="J127" s="131"/>
      <c r="K127" s="131"/>
      <c r="L127" s="131"/>
      <c r="M127" s="131"/>
      <c r="N127" s="131"/>
      <c r="O127" s="131"/>
      <c r="P127" s="131"/>
      <c r="Q127" s="131"/>
    </row>
    <row r="128" spans="1:17" s="143" customFormat="1" ht="15.75">
      <c r="A128" s="89" t="s">
        <v>129</v>
      </c>
      <c r="B128" s="90"/>
      <c r="C128" s="260" t="s">
        <v>130</v>
      </c>
      <c r="D128" s="260"/>
      <c r="E128" s="260"/>
      <c r="F128" s="260"/>
      <c r="G128" s="260"/>
      <c r="H128" s="743"/>
      <c r="I128" s="131"/>
      <c r="J128" s="131"/>
      <c r="K128" s="131"/>
      <c r="L128" s="131"/>
      <c r="M128" s="131"/>
      <c r="N128" s="131"/>
      <c r="O128" s="131"/>
      <c r="P128" s="131"/>
      <c r="Q128" s="131"/>
    </row>
    <row r="129" spans="1:17" s="143" customFormat="1" ht="15.75">
      <c r="A129" s="125" t="s">
        <v>131</v>
      </c>
      <c r="B129" s="48" t="s">
        <v>132</v>
      </c>
      <c r="C129" s="74" t="s">
        <v>133</v>
      </c>
      <c r="D129" s="74" t="s">
        <v>20</v>
      </c>
      <c r="E129" s="67" t="s">
        <v>219</v>
      </c>
      <c r="F129" s="92" t="s">
        <v>22</v>
      </c>
      <c r="G129" s="93"/>
      <c r="H129" s="737"/>
      <c r="I129" s="131"/>
      <c r="J129" s="131"/>
      <c r="K129" s="131"/>
      <c r="L129" s="131"/>
      <c r="M129" s="131"/>
      <c r="N129" s="131"/>
      <c r="O129" s="131"/>
      <c r="P129" s="131"/>
      <c r="Q129" s="131"/>
    </row>
    <row r="130" spans="1:17" s="143" customFormat="1" ht="15.75">
      <c r="A130" s="128"/>
      <c r="B130" s="60"/>
      <c r="C130" s="76"/>
      <c r="D130" s="76"/>
      <c r="E130" s="67" t="s">
        <v>221</v>
      </c>
      <c r="F130" s="259"/>
      <c r="G130" s="59"/>
      <c r="H130" s="737"/>
      <c r="I130" s="131"/>
      <c r="J130" s="131"/>
      <c r="K130" s="131"/>
      <c r="L130" s="131"/>
      <c r="M130" s="131"/>
      <c r="N130" s="131"/>
      <c r="O130" s="131"/>
      <c r="P130" s="131"/>
      <c r="Q130" s="131"/>
    </row>
    <row r="131" spans="1:17" s="143" customFormat="1" ht="15.75">
      <c r="A131" s="135">
        <v>18</v>
      </c>
      <c r="B131" s="90" t="s">
        <v>142</v>
      </c>
      <c r="C131" s="91" t="s">
        <v>143</v>
      </c>
      <c r="D131" s="279" t="s">
        <v>20</v>
      </c>
      <c r="E131" s="67" t="s">
        <v>21</v>
      </c>
      <c r="F131" s="301" t="s">
        <v>22</v>
      </c>
      <c r="G131" s="301"/>
      <c r="H131" s="737"/>
      <c r="I131" s="131"/>
      <c r="J131" s="131"/>
      <c r="K131" s="131"/>
      <c r="L131" s="131"/>
      <c r="M131" s="131"/>
      <c r="N131" s="131"/>
      <c r="O131" s="131"/>
      <c r="P131" s="131"/>
      <c r="Q131" s="131"/>
    </row>
    <row r="132" spans="1:17" s="143" customFormat="1" ht="15.75">
      <c r="A132" s="135"/>
      <c r="B132" s="90"/>
      <c r="C132" s="91"/>
      <c r="D132" s="279"/>
      <c r="E132" s="85" t="s">
        <v>24</v>
      </c>
      <c r="F132" s="301"/>
      <c r="G132" s="301"/>
      <c r="H132" s="737"/>
      <c r="I132" s="131"/>
      <c r="J132" s="131"/>
      <c r="K132" s="131"/>
      <c r="L132" s="131"/>
      <c r="M132" s="131"/>
      <c r="N132" s="131"/>
      <c r="O132" s="131"/>
      <c r="P132" s="131"/>
      <c r="Q132" s="131"/>
    </row>
    <row r="133" spans="1:17" s="143" customFormat="1" ht="47.25">
      <c r="A133" s="138">
        <v>19</v>
      </c>
      <c r="B133" s="62" t="s">
        <v>144</v>
      </c>
      <c r="C133" s="94" t="s">
        <v>145</v>
      </c>
      <c r="D133" s="80" t="s">
        <v>25</v>
      </c>
      <c r="E133" s="85"/>
      <c r="F133" s="301" t="s">
        <v>22</v>
      </c>
      <c r="G133" s="301"/>
      <c r="H133" s="737"/>
      <c r="I133" s="131"/>
      <c r="J133" s="131"/>
      <c r="K133" s="131"/>
      <c r="L133" s="131"/>
      <c r="M133" s="131"/>
      <c r="N133" s="131"/>
      <c r="O133" s="131"/>
      <c r="P133" s="131"/>
      <c r="Q133" s="131"/>
    </row>
    <row r="134" spans="1:17" s="143" customFormat="1" ht="31.5">
      <c r="A134" s="139">
        <v>20</v>
      </c>
      <c r="B134" s="62" t="s">
        <v>238</v>
      </c>
      <c r="C134" s="94" t="s">
        <v>239</v>
      </c>
      <c r="D134" s="80" t="s">
        <v>118</v>
      </c>
      <c r="E134" s="85"/>
      <c r="F134" s="95">
        <v>4061</v>
      </c>
      <c r="G134" s="95">
        <f>F134*1.2</f>
        <v>4873.2</v>
      </c>
      <c r="H134" s="737" t="s">
        <v>240</v>
      </c>
      <c r="I134" s="131"/>
      <c r="J134" s="131"/>
      <c r="K134" s="131"/>
      <c r="L134" s="131"/>
      <c r="M134" s="131"/>
      <c r="N134" s="131"/>
      <c r="O134" s="131"/>
      <c r="P134" s="131"/>
      <c r="Q134" s="131"/>
    </row>
    <row r="135" spans="1:17" s="143" customFormat="1" ht="31.5">
      <c r="A135" s="139">
        <v>21</v>
      </c>
      <c r="B135" s="62" t="s">
        <v>241</v>
      </c>
      <c r="C135" s="94" t="s">
        <v>242</v>
      </c>
      <c r="D135" s="80" t="s">
        <v>151</v>
      </c>
      <c r="E135" s="85" t="s">
        <v>243</v>
      </c>
      <c r="F135" s="95">
        <v>212</v>
      </c>
      <c r="G135" s="95">
        <f>F135*1.2</f>
        <v>254.39999999999998</v>
      </c>
      <c r="H135" s="737" t="s">
        <v>244</v>
      </c>
      <c r="I135" s="131"/>
      <c r="J135" s="131"/>
      <c r="K135" s="131"/>
      <c r="L135" s="131"/>
      <c r="M135" s="131"/>
      <c r="N135" s="131"/>
      <c r="O135" s="131"/>
      <c r="P135" s="131"/>
      <c r="Q135" s="131"/>
    </row>
    <row r="136" spans="1:17" s="143" customFormat="1" ht="47.25">
      <c r="A136" s="138">
        <v>22</v>
      </c>
      <c r="B136" s="62" t="s">
        <v>245</v>
      </c>
      <c r="C136" s="94" t="s">
        <v>155</v>
      </c>
      <c r="D136" s="80" t="s">
        <v>118</v>
      </c>
      <c r="E136" s="85" t="s">
        <v>105</v>
      </c>
      <c r="F136" s="95">
        <v>2181.91</v>
      </c>
      <c r="G136" s="95">
        <f>F136*1.2</f>
        <v>2618.292</v>
      </c>
      <c r="H136" s="737"/>
      <c r="I136" s="131"/>
      <c r="J136" s="131"/>
      <c r="K136" s="131"/>
      <c r="L136" s="131"/>
      <c r="M136" s="131"/>
      <c r="N136" s="131"/>
      <c r="O136" s="131"/>
      <c r="P136" s="131"/>
      <c r="Q136" s="131"/>
    </row>
    <row r="137" spans="1:17" s="143" customFormat="1" ht="15.75">
      <c r="A137" s="88" t="s">
        <v>157</v>
      </c>
      <c r="B137" s="302"/>
      <c r="C137" s="97" t="s">
        <v>158</v>
      </c>
      <c r="D137" s="98"/>
      <c r="E137" s="98"/>
      <c r="F137" s="98"/>
      <c r="G137" s="98"/>
      <c r="H137" s="99"/>
      <c r="I137" s="131"/>
      <c r="J137" s="131"/>
      <c r="K137" s="131"/>
      <c r="L137" s="131"/>
      <c r="M137" s="131"/>
      <c r="N137" s="131"/>
      <c r="O137" s="131"/>
      <c r="P137" s="131"/>
      <c r="Q137" s="131"/>
    </row>
    <row r="138" spans="1:17" s="143" customFormat="1" ht="31.5">
      <c r="A138" s="138">
        <v>23</v>
      </c>
      <c r="B138" s="62" t="s">
        <v>159</v>
      </c>
      <c r="C138" s="70" t="s">
        <v>160</v>
      </c>
      <c r="D138" s="47" t="s">
        <v>161</v>
      </c>
      <c r="E138" s="85" t="s">
        <v>105</v>
      </c>
      <c r="F138" s="85">
        <v>1586</v>
      </c>
      <c r="G138" s="95">
        <f>F138*1.2</f>
        <v>1903.1999999999998</v>
      </c>
      <c r="H138" s="737" t="s">
        <v>246</v>
      </c>
      <c r="I138" s="131"/>
      <c r="J138" s="131"/>
      <c r="K138" s="131"/>
      <c r="L138" s="131"/>
      <c r="M138" s="131"/>
      <c r="N138" s="131"/>
      <c r="O138" s="131"/>
      <c r="P138" s="131"/>
      <c r="Q138" s="131"/>
    </row>
    <row r="139" spans="1:17" s="143" customFormat="1" ht="79.5" thickBot="1">
      <c r="A139" s="140">
        <v>24</v>
      </c>
      <c r="B139" s="100" t="s">
        <v>163</v>
      </c>
      <c r="C139" s="101" t="s">
        <v>164</v>
      </c>
      <c r="D139" s="102" t="s">
        <v>161</v>
      </c>
      <c r="E139" s="103"/>
      <c r="F139" s="104">
        <v>507</v>
      </c>
      <c r="G139" s="141">
        <f>F139*1.2</f>
        <v>608.4</v>
      </c>
      <c r="H139" s="744" t="s">
        <v>247</v>
      </c>
      <c r="I139" s="131"/>
      <c r="J139" s="131"/>
      <c r="K139" s="131"/>
      <c r="L139" s="131"/>
      <c r="M139" s="131"/>
      <c r="N139" s="131"/>
      <c r="O139" s="131"/>
      <c r="P139" s="131"/>
      <c r="Q139" s="131"/>
    </row>
    <row r="140" spans="1:8" ht="15.75">
      <c r="A140" s="282"/>
      <c r="B140" s="282"/>
      <c r="C140" s="282"/>
      <c r="D140" s="282"/>
      <c r="E140" s="282"/>
      <c r="F140" s="282"/>
      <c r="G140" s="283"/>
      <c r="H140" s="282"/>
    </row>
    <row r="141" spans="1:8" ht="15.75">
      <c r="A141" s="574" t="s">
        <v>248</v>
      </c>
      <c r="B141" s="264"/>
      <c r="C141" s="264"/>
      <c r="D141" s="143"/>
      <c r="E141" s="143"/>
      <c r="F141" s="282"/>
      <c r="G141" s="283"/>
      <c r="H141" s="282"/>
    </row>
    <row r="142" spans="1:8" ht="15.75">
      <c r="A142" s="574"/>
      <c r="B142" s="264"/>
      <c r="C142" s="264"/>
      <c r="D142" s="143"/>
      <c r="E142" s="143"/>
      <c r="F142" s="131"/>
      <c r="G142" s="575"/>
      <c r="H142" s="576"/>
    </row>
    <row r="143" spans="1:8" ht="15.75">
      <c r="A143" s="558" t="s">
        <v>167</v>
      </c>
      <c r="B143" s="264"/>
      <c r="C143" s="264"/>
      <c r="D143" s="143"/>
      <c r="E143" s="579" t="s">
        <v>168</v>
      </c>
      <c r="F143" s="131"/>
      <c r="G143" s="575"/>
      <c r="H143" s="576"/>
    </row>
    <row r="144" spans="1:8" ht="15.75">
      <c r="A144" s="574"/>
      <c r="B144" s="264"/>
      <c r="C144" s="264"/>
      <c r="D144" s="143"/>
      <c r="E144" s="579"/>
      <c r="F144" s="131"/>
      <c r="G144" s="575"/>
      <c r="H144" s="576"/>
    </row>
    <row r="145" spans="1:8" ht="15.75">
      <c r="A145" s="574" t="s">
        <v>169</v>
      </c>
      <c r="B145" s="264"/>
      <c r="C145" s="264"/>
      <c r="D145" s="143"/>
      <c r="E145" s="579" t="s">
        <v>170</v>
      </c>
      <c r="F145" s="131"/>
      <c r="G145" s="575"/>
      <c r="H145" s="576"/>
    </row>
    <row r="146" spans="1:8" ht="15.75">
      <c r="A146" s="574"/>
      <c r="B146" s="264"/>
      <c r="C146" s="264"/>
      <c r="D146" s="143"/>
      <c r="E146" s="579"/>
      <c r="F146" s="131"/>
      <c r="G146" s="575"/>
      <c r="H146" s="576"/>
    </row>
    <row r="147" spans="1:8" ht="15.75">
      <c r="A147" s="574" t="s">
        <v>171</v>
      </c>
      <c r="B147" s="264"/>
      <c r="C147" s="264"/>
      <c r="D147" s="143"/>
      <c r="E147" s="579" t="s">
        <v>172</v>
      </c>
      <c r="F147" s="131"/>
      <c r="G147" s="575"/>
      <c r="H147" s="577"/>
    </row>
    <row r="148" spans="1:8" ht="15.75">
      <c r="A148" s="574"/>
      <c r="B148" s="264"/>
      <c r="C148" s="264"/>
      <c r="D148" s="143"/>
      <c r="E148" s="579"/>
      <c r="F148" s="131"/>
      <c r="G148" s="575"/>
      <c r="H148" s="577"/>
    </row>
    <row r="149" spans="1:8" ht="15.75">
      <c r="A149" s="574" t="s">
        <v>173</v>
      </c>
      <c r="B149" s="264"/>
      <c r="C149" s="264"/>
      <c r="D149" s="143"/>
      <c r="E149" s="579" t="s">
        <v>174</v>
      </c>
      <c r="F149" s="282"/>
      <c r="G149" s="283"/>
      <c r="H149" s="578"/>
    </row>
    <row r="150" spans="1:8" ht="15.75">
      <c r="A150" s="574"/>
      <c r="B150" s="264"/>
      <c r="C150" s="264"/>
      <c r="D150" s="282"/>
      <c r="E150" s="284"/>
      <c r="F150" s="282"/>
      <c r="G150" s="283"/>
      <c r="H150" s="282"/>
    </row>
    <row r="151" spans="1:8" ht="15.75">
      <c r="A151" s="574" t="s">
        <v>249</v>
      </c>
      <c r="B151" s="264"/>
      <c r="C151" s="264"/>
      <c r="D151" s="131"/>
      <c r="E151" s="580" t="s">
        <v>250</v>
      </c>
      <c r="F151" s="131"/>
      <c r="G151" s="575"/>
      <c r="H151" s="577"/>
    </row>
    <row r="152" spans="4:5" ht="15.75">
      <c r="D152" s="46"/>
      <c r="E152" s="46"/>
    </row>
    <row r="153" spans="4:5" ht="15.75">
      <c r="D153" s="46"/>
      <c r="E153" s="46"/>
    </row>
    <row r="154" spans="4:5" ht="15.75">
      <c r="D154" s="46"/>
      <c r="E154" s="46"/>
    </row>
    <row r="155" spans="4:5" ht="15.75">
      <c r="D155" s="46"/>
      <c r="E155" s="46"/>
    </row>
    <row r="156" spans="4:5" ht="15.75">
      <c r="D156" s="46"/>
      <c r="E156" s="46"/>
    </row>
  </sheetData>
  <sheetProtection/>
  <mergeCells count="157">
    <mergeCell ref="F133:G133"/>
    <mergeCell ref="A137:B137"/>
    <mergeCell ref="C137:H137"/>
    <mergeCell ref="B27:B76"/>
    <mergeCell ref="F94:G94"/>
    <mergeCell ref="F95:G95"/>
    <mergeCell ref="A131:A132"/>
    <mergeCell ref="B131:B132"/>
    <mergeCell ref="C131:C132"/>
    <mergeCell ref="D131:D132"/>
    <mergeCell ref="F131:G132"/>
    <mergeCell ref="A128:B128"/>
    <mergeCell ref="C128:H128"/>
    <mergeCell ref="A129:A130"/>
    <mergeCell ref="B129:B130"/>
    <mergeCell ref="C129:C130"/>
    <mergeCell ref="D129:D130"/>
    <mergeCell ref="F129:G130"/>
    <mergeCell ref="A125:A127"/>
    <mergeCell ref="B125:B127"/>
    <mergeCell ref="C125:C127"/>
    <mergeCell ref="D125:D126"/>
    <mergeCell ref="E125:E126"/>
    <mergeCell ref="F126:G126"/>
    <mergeCell ref="F127:G127"/>
    <mergeCell ref="A123:A124"/>
    <mergeCell ref="B123:B124"/>
    <mergeCell ref="C123:C124"/>
    <mergeCell ref="D123:D124"/>
    <mergeCell ref="E123:E124"/>
    <mergeCell ref="H115:H116"/>
    <mergeCell ref="C117:C118"/>
    <mergeCell ref="H117:H118"/>
    <mergeCell ref="A119:A120"/>
    <mergeCell ref="B119:B120"/>
    <mergeCell ref="C119:C120"/>
    <mergeCell ref="E109:E111"/>
    <mergeCell ref="D112:D113"/>
    <mergeCell ref="E112:E113"/>
    <mergeCell ref="A114:A118"/>
    <mergeCell ref="C114:H114"/>
    <mergeCell ref="B115:B118"/>
    <mergeCell ref="C115:C116"/>
    <mergeCell ref="D115:D118"/>
    <mergeCell ref="F105:G105"/>
    <mergeCell ref="F106:G106"/>
    <mergeCell ref="A107:B107"/>
    <mergeCell ref="C107:H107"/>
    <mergeCell ref="A108:A113"/>
    <mergeCell ref="C108:H108"/>
    <mergeCell ref="B109:B113"/>
    <mergeCell ref="C109:C110"/>
    <mergeCell ref="D109:D111"/>
    <mergeCell ref="H98:H99"/>
    <mergeCell ref="H100:H101"/>
    <mergeCell ref="D102:D103"/>
    <mergeCell ref="A104:A106"/>
    <mergeCell ref="B104:B106"/>
    <mergeCell ref="C104:C106"/>
    <mergeCell ref="D104:D105"/>
    <mergeCell ref="F104:G104"/>
    <mergeCell ref="H104:H106"/>
    <mergeCell ref="F92:G92"/>
    <mergeCell ref="F93:G93"/>
    <mergeCell ref="A94:A103"/>
    <mergeCell ref="B94:B103"/>
    <mergeCell ref="C94:C103"/>
    <mergeCell ref="H94:H95"/>
    <mergeCell ref="D96:D97"/>
    <mergeCell ref="H96:H97"/>
    <mergeCell ref="A91:A93"/>
    <mergeCell ref="B91:B93"/>
    <mergeCell ref="C91:C93"/>
    <mergeCell ref="D91:D92"/>
    <mergeCell ref="F91:G91"/>
    <mergeCell ref="H91:H93"/>
    <mergeCell ref="H86:H88"/>
    <mergeCell ref="F87:G87"/>
    <mergeCell ref="F88:G88"/>
    <mergeCell ref="A89:H89"/>
    <mergeCell ref="A90:B90"/>
    <mergeCell ref="C90:H90"/>
    <mergeCell ref="C81:C83"/>
    <mergeCell ref="D81:D83"/>
    <mergeCell ref="C84:C85"/>
    <mergeCell ref="D84:D85"/>
    <mergeCell ref="A86:A88"/>
    <mergeCell ref="B86:B88"/>
    <mergeCell ref="C86:C88"/>
    <mergeCell ref="D86:D87"/>
    <mergeCell ref="F86:G86"/>
    <mergeCell ref="C73:C74"/>
    <mergeCell ref="C75:C76"/>
    <mergeCell ref="H75:H76"/>
    <mergeCell ref="A77:A85"/>
    <mergeCell ref="C77:H77"/>
    <mergeCell ref="B78:B85"/>
    <mergeCell ref="C78:C80"/>
    <mergeCell ref="D78:D80"/>
    <mergeCell ref="C61:C62"/>
    <mergeCell ref="C63:C64"/>
    <mergeCell ref="C65:C66"/>
    <mergeCell ref="C67:C68"/>
    <mergeCell ref="C69:C70"/>
    <mergeCell ref="C71:C72"/>
    <mergeCell ref="C49:C50"/>
    <mergeCell ref="C51:C52"/>
    <mergeCell ref="C53:C54"/>
    <mergeCell ref="C55:C56"/>
    <mergeCell ref="C57:C58"/>
    <mergeCell ref="C59:C60"/>
    <mergeCell ref="C27:C28"/>
    <mergeCell ref="H27:H74"/>
    <mergeCell ref="C29:C30"/>
    <mergeCell ref="C31:C32"/>
    <mergeCell ref="C33:C34"/>
    <mergeCell ref="C35:C36"/>
    <mergeCell ref="C37:C38"/>
    <mergeCell ref="C39:C40"/>
    <mergeCell ref="H23:H25"/>
    <mergeCell ref="F24:G24"/>
    <mergeCell ref="F25:G25"/>
    <mergeCell ref="A26:A76"/>
    <mergeCell ref="C26:H26"/>
    <mergeCell ref="C41:C42"/>
    <mergeCell ref="C43:C44"/>
    <mergeCell ref="C45:C46"/>
    <mergeCell ref="C47:C48"/>
    <mergeCell ref="F21:G21"/>
    <mergeCell ref="F22:G22"/>
    <mergeCell ref="A23:A25"/>
    <mergeCell ref="B23:B25"/>
    <mergeCell ref="C23:C25"/>
    <mergeCell ref="D23:D24"/>
    <mergeCell ref="F23:G23"/>
    <mergeCell ref="F18:G18"/>
    <mergeCell ref="F19:G19"/>
    <mergeCell ref="A20:A22"/>
    <mergeCell ref="B20:B22"/>
    <mergeCell ref="C20:C22"/>
    <mergeCell ref="D20:D21"/>
    <mergeCell ref="F20:G20"/>
    <mergeCell ref="H20:H22"/>
    <mergeCell ref="A16:B16"/>
    <mergeCell ref="C16:H16"/>
    <mergeCell ref="A17:A19"/>
    <mergeCell ref="B17:B19"/>
    <mergeCell ref="C17:C19"/>
    <mergeCell ref="D17:D18"/>
    <mergeCell ref="F17:G17"/>
    <mergeCell ref="H17:H19"/>
    <mergeCell ref="A9:H9"/>
    <mergeCell ref="A10:H10"/>
    <mergeCell ref="A11:H11"/>
    <mergeCell ref="A12:H12"/>
    <mergeCell ref="A13:H13"/>
    <mergeCell ref="A15:H1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210"/>
  <sheetViews>
    <sheetView zoomScale="70" zoomScaleNormal="70" zoomScalePageLayoutView="0" workbookViewId="0" topLeftCell="A1">
      <selection activeCell="A15" sqref="A15:H195"/>
    </sheetView>
  </sheetViews>
  <sheetFormatPr defaultColWidth="9.140625" defaultRowHeight="15"/>
  <cols>
    <col min="1" max="1" width="7.57421875" style="5" customWidth="1"/>
    <col min="2" max="2" width="18.28125" style="5" customWidth="1"/>
    <col min="3" max="3" width="42.8515625" style="5" customWidth="1"/>
    <col min="4" max="4" width="20.421875" style="6" customWidth="1"/>
    <col min="5" max="5" width="20.421875" style="7" customWidth="1"/>
    <col min="6" max="6" width="20.421875" style="5" customWidth="1"/>
    <col min="7" max="7" width="20.421875" style="17" customWidth="1"/>
    <col min="8" max="8" width="91.28125" style="18" customWidth="1"/>
    <col min="9" max="16384" width="9.140625" style="5" customWidth="1"/>
  </cols>
  <sheetData>
    <row r="1" spans="1:8" s="583" customFormat="1" ht="15.75">
      <c r="A1" s="11"/>
      <c r="B1" s="11"/>
      <c r="C1" s="11"/>
      <c r="D1" s="581"/>
      <c r="E1" s="582"/>
      <c r="G1" s="584"/>
      <c r="H1" s="18"/>
    </row>
    <row r="2" spans="1:9" s="583" customFormat="1" ht="22.5" customHeight="1">
      <c r="A2" s="11"/>
      <c r="B2" s="11"/>
      <c r="C2" s="11"/>
      <c r="D2" s="581"/>
      <c r="E2" s="582"/>
      <c r="F2" s="148"/>
      <c r="H2" s="635" t="s">
        <v>0</v>
      </c>
      <c r="I2" s="148"/>
    </row>
    <row r="3" spans="1:9" s="583" customFormat="1" ht="20.25" customHeight="1">
      <c r="A3" s="11"/>
      <c r="B3" s="11"/>
      <c r="C3" s="11"/>
      <c r="D3" s="581"/>
      <c r="E3" s="582"/>
      <c r="F3" s="254"/>
      <c r="H3" s="254" t="s">
        <v>1</v>
      </c>
      <c r="I3" s="112"/>
    </row>
    <row r="4" spans="1:9" s="583" customFormat="1" ht="20.25" customHeight="1">
      <c r="A4" s="11"/>
      <c r="B4" s="11"/>
      <c r="C4" s="11"/>
      <c r="D4" s="581"/>
      <c r="E4" s="582"/>
      <c r="F4" s="585"/>
      <c r="H4" s="255" t="s">
        <v>2</v>
      </c>
      <c r="I4" s="256"/>
    </row>
    <row r="5" spans="1:9" s="583" customFormat="1" ht="20.25">
      <c r="A5" s="11"/>
      <c r="B5" s="11"/>
      <c r="C5" s="11"/>
      <c r="D5" s="581"/>
      <c r="E5" s="582"/>
      <c r="F5" s="585"/>
      <c r="H5" s="114"/>
      <c r="I5" s="256"/>
    </row>
    <row r="6" spans="1:9" s="583" customFormat="1" ht="20.25">
      <c r="A6" s="11"/>
      <c r="B6" s="11"/>
      <c r="C6" s="11"/>
      <c r="D6" s="581"/>
      <c r="E6" s="582"/>
      <c r="F6" s="112"/>
      <c r="H6" s="585"/>
      <c r="I6" s="112"/>
    </row>
    <row r="7" spans="1:9" s="583" customFormat="1" ht="20.25" customHeight="1">
      <c r="A7" s="11"/>
      <c r="B7" s="11"/>
      <c r="C7" s="11"/>
      <c r="D7" s="581"/>
      <c r="E7" s="582"/>
      <c r="F7" s="112"/>
      <c r="H7" s="112" t="s">
        <v>3</v>
      </c>
      <c r="I7" s="112"/>
    </row>
    <row r="8" spans="1:9" s="583" customFormat="1" ht="20.25">
      <c r="A8" s="11"/>
      <c r="B8" s="11"/>
      <c r="C8" s="11"/>
      <c r="D8" s="581"/>
      <c r="E8" s="582"/>
      <c r="F8" s="112"/>
      <c r="G8" s="4"/>
      <c r="H8" s="4"/>
      <c r="I8" s="112"/>
    </row>
    <row r="10" spans="1:8" ht="20.25">
      <c r="A10" s="570" t="s">
        <v>4</v>
      </c>
      <c r="B10" s="570"/>
      <c r="C10" s="570"/>
      <c r="D10" s="570"/>
      <c r="E10" s="570"/>
      <c r="F10" s="570"/>
      <c r="G10" s="570"/>
      <c r="H10" s="570"/>
    </row>
    <row r="11" spans="1:8" ht="20.25">
      <c r="A11" s="570" t="s">
        <v>750</v>
      </c>
      <c r="B11" s="570"/>
      <c r="C11" s="570"/>
      <c r="D11" s="570"/>
      <c r="E11" s="570"/>
      <c r="F11" s="570"/>
      <c r="G11" s="570"/>
      <c r="H11" s="570"/>
    </row>
    <row r="12" spans="1:8" s="586" customFormat="1" ht="20.25">
      <c r="A12" s="570" t="s">
        <v>756</v>
      </c>
      <c r="B12" s="570"/>
      <c r="C12" s="570"/>
      <c r="D12" s="570"/>
      <c r="E12" s="570"/>
      <c r="F12" s="570"/>
      <c r="G12" s="570"/>
      <c r="H12" s="570"/>
    </row>
    <row r="13" spans="1:8" s="586" customFormat="1" ht="20.25">
      <c r="A13" s="570" t="s">
        <v>5</v>
      </c>
      <c r="B13" s="570"/>
      <c r="C13" s="570"/>
      <c r="D13" s="570"/>
      <c r="E13" s="570"/>
      <c r="F13" s="570"/>
      <c r="G13" s="570"/>
      <c r="H13" s="570"/>
    </row>
    <row r="14" spans="1:8" s="586" customFormat="1" ht="21" thickBot="1">
      <c r="A14" s="587"/>
      <c r="B14" s="587"/>
      <c r="C14" s="587"/>
      <c r="D14" s="587"/>
      <c r="E14" s="587"/>
      <c r="F14" s="587"/>
      <c r="G14" s="587"/>
      <c r="H14" s="587"/>
    </row>
    <row r="15" spans="1:8" ht="47.25">
      <c r="A15" s="21" t="s">
        <v>6</v>
      </c>
      <c r="B15" s="22" t="s">
        <v>7</v>
      </c>
      <c r="C15" s="22" t="s">
        <v>8</v>
      </c>
      <c r="D15" s="22" t="s">
        <v>9</v>
      </c>
      <c r="E15" s="22" t="s">
        <v>10</v>
      </c>
      <c r="F15" s="22" t="s">
        <v>11</v>
      </c>
      <c r="G15" s="23" t="s">
        <v>12</v>
      </c>
      <c r="H15" s="24" t="s">
        <v>13</v>
      </c>
    </row>
    <row r="16" spans="1:8" ht="15.75">
      <c r="A16" s="370" t="s">
        <v>14</v>
      </c>
      <c r="B16" s="27"/>
      <c r="C16" s="27"/>
      <c r="D16" s="27"/>
      <c r="E16" s="27"/>
      <c r="F16" s="27"/>
      <c r="G16" s="27"/>
      <c r="H16" s="28"/>
    </row>
    <row r="17" spans="1:8" ht="15.75">
      <c r="A17" s="305" t="s">
        <v>15</v>
      </c>
      <c r="B17" s="306"/>
      <c r="C17" s="27" t="s">
        <v>177</v>
      </c>
      <c r="D17" s="27"/>
      <c r="E17" s="27"/>
      <c r="F17" s="27"/>
      <c r="G17" s="27"/>
      <c r="H17" s="28"/>
    </row>
    <row r="18" spans="1:8" ht="15.75">
      <c r="A18" s="307" t="s">
        <v>17</v>
      </c>
      <c r="B18" s="306" t="s">
        <v>18</v>
      </c>
      <c r="C18" s="197" t="s">
        <v>19</v>
      </c>
      <c r="D18" s="213" t="s">
        <v>20</v>
      </c>
      <c r="E18" s="9" t="s">
        <v>21</v>
      </c>
      <c r="F18" s="213"/>
      <c r="G18" s="213"/>
      <c r="H18" s="277" t="s">
        <v>178</v>
      </c>
    </row>
    <row r="19" spans="1:8" ht="15.75">
      <c r="A19" s="307"/>
      <c r="B19" s="306"/>
      <c r="C19" s="197"/>
      <c r="D19" s="213"/>
      <c r="E19" s="9" t="s">
        <v>253</v>
      </c>
      <c r="F19" s="213"/>
      <c r="G19" s="213"/>
      <c r="H19" s="277"/>
    </row>
    <row r="20" spans="1:8" ht="15.75">
      <c r="A20" s="307"/>
      <c r="B20" s="306"/>
      <c r="C20" s="197"/>
      <c r="D20" s="193" t="s">
        <v>25</v>
      </c>
      <c r="E20" s="44"/>
      <c r="F20" s="213"/>
      <c r="G20" s="213"/>
      <c r="H20" s="277"/>
    </row>
    <row r="21" spans="1:8" ht="15.75">
      <c r="A21" s="307" t="s">
        <v>26</v>
      </c>
      <c r="B21" s="306" t="s">
        <v>27</v>
      </c>
      <c r="C21" s="197" t="s">
        <v>254</v>
      </c>
      <c r="D21" s="213" t="s">
        <v>20</v>
      </c>
      <c r="E21" s="9" t="s">
        <v>21</v>
      </c>
      <c r="F21" s="213"/>
      <c r="G21" s="213"/>
      <c r="H21" s="277" t="s">
        <v>179</v>
      </c>
    </row>
    <row r="22" spans="1:8" ht="15.75">
      <c r="A22" s="307"/>
      <c r="B22" s="306"/>
      <c r="C22" s="197"/>
      <c r="D22" s="213"/>
      <c r="E22" s="9" t="s">
        <v>253</v>
      </c>
      <c r="F22" s="213"/>
      <c r="G22" s="213"/>
      <c r="H22" s="277"/>
    </row>
    <row r="23" spans="1:8" ht="15.75">
      <c r="A23" s="307"/>
      <c r="B23" s="306"/>
      <c r="C23" s="197"/>
      <c r="D23" s="193" t="s">
        <v>25</v>
      </c>
      <c r="E23" s="44"/>
      <c r="F23" s="213"/>
      <c r="G23" s="213"/>
      <c r="H23" s="277"/>
    </row>
    <row r="24" spans="1:8" ht="15.75">
      <c r="A24" s="307" t="s">
        <v>30</v>
      </c>
      <c r="B24" s="306" t="s">
        <v>31</v>
      </c>
      <c r="C24" s="197" t="s">
        <v>32</v>
      </c>
      <c r="D24" s="213" t="s">
        <v>20</v>
      </c>
      <c r="E24" s="9" t="s">
        <v>21</v>
      </c>
      <c r="F24" s="213"/>
      <c r="G24" s="213"/>
      <c r="H24" s="277" t="s">
        <v>179</v>
      </c>
    </row>
    <row r="25" spans="1:8" ht="15.75">
      <c r="A25" s="307"/>
      <c r="B25" s="306"/>
      <c r="C25" s="197"/>
      <c r="D25" s="213"/>
      <c r="E25" s="9" t="s">
        <v>253</v>
      </c>
      <c r="F25" s="213"/>
      <c r="G25" s="213"/>
      <c r="H25" s="277"/>
    </row>
    <row r="26" spans="1:8" ht="15.75">
      <c r="A26" s="307"/>
      <c r="B26" s="306"/>
      <c r="C26" s="197"/>
      <c r="D26" s="193" t="s">
        <v>25</v>
      </c>
      <c r="E26" s="44"/>
      <c r="F26" s="213"/>
      <c r="G26" s="213"/>
      <c r="H26" s="277"/>
    </row>
    <row r="27" spans="1:8" ht="15.75">
      <c r="A27" s="420" t="s">
        <v>33</v>
      </c>
      <c r="B27" s="30" t="s">
        <v>34</v>
      </c>
      <c r="C27" s="306" t="s">
        <v>35</v>
      </c>
      <c r="D27" s="306"/>
      <c r="E27" s="306"/>
      <c r="F27" s="306"/>
      <c r="G27" s="306"/>
      <c r="H27" s="310"/>
    </row>
    <row r="28" spans="1:8" ht="15.75">
      <c r="A28" s="421"/>
      <c r="B28" s="36"/>
      <c r="C28" s="213" t="s">
        <v>255</v>
      </c>
      <c r="D28" s="9" t="s">
        <v>20</v>
      </c>
      <c r="E28" s="9" t="s">
        <v>21</v>
      </c>
      <c r="F28" s="276">
        <v>1930</v>
      </c>
      <c r="G28" s="276">
        <v>2316</v>
      </c>
      <c r="H28" s="429" t="s">
        <v>757</v>
      </c>
    </row>
    <row r="29" spans="1:8" ht="15.75">
      <c r="A29" s="421"/>
      <c r="B29" s="36"/>
      <c r="C29" s="213"/>
      <c r="D29" s="9" t="s">
        <v>20</v>
      </c>
      <c r="E29" s="9" t="s">
        <v>24</v>
      </c>
      <c r="F29" s="276">
        <v>4628</v>
      </c>
      <c r="G29" s="276">
        <v>5553.599999999999</v>
      </c>
      <c r="H29" s="548"/>
    </row>
    <row r="30" spans="1:8" ht="15.75">
      <c r="A30" s="421"/>
      <c r="B30" s="36"/>
      <c r="C30" s="32" t="s">
        <v>256</v>
      </c>
      <c r="D30" s="9" t="s">
        <v>20</v>
      </c>
      <c r="E30" s="9" t="s">
        <v>21</v>
      </c>
      <c r="F30" s="276">
        <v>3983</v>
      </c>
      <c r="G30" s="276">
        <v>4779.599999999999</v>
      </c>
      <c r="H30" s="548"/>
    </row>
    <row r="31" spans="1:8" ht="15.75">
      <c r="A31" s="421"/>
      <c r="B31" s="36"/>
      <c r="C31" s="38"/>
      <c r="D31" s="9" t="s">
        <v>20</v>
      </c>
      <c r="E31" s="9" t="s">
        <v>24</v>
      </c>
      <c r="F31" s="276">
        <v>6057</v>
      </c>
      <c r="G31" s="276">
        <v>7268.4</v>
      </c>
      <c r="H31" s="548"/>
    </row>
    <row r="32" spans="1:8" ht="15.75">
      <c r="A32" s="421"/>
      <c r="B32" s="36"/>
      <c r="C32" s="32" t="s">
        <v>181</v>
      </c>
      <c r="D32" s="9" t="s">
        <v>20</v>
      </c>
      <c r="E32" s="9" t="s">
        <v>21</v>
      </c>
      <c r="F32" s="276">
        <v>5041</v>
      </c>
      <c r="G32" s="276">
        <v>6049.2</v>
      </c>
      <c r="H32" s="548"/>
    </row>
    <row r="33" spans="1:8" ht="15.75">
      <c r="A33" s="421"/>
      <c r="B33" s="36"/>
      <c r="C33" s="38"/>
      <c r="D33" s="9" t="s">
        <v>20</v>
      </c>
      <c r="E33" s="9" t="s">
        <v>24</v>
      </c>
      <c r="F33" s="276">
        <v>6847</v>
      </c>
      <c r="G33" s="276">
        <v>8216.4</v>
      </c>
      <c r="H33" s="548"/>
    </row>
    <row r="34" spans="1:8" ht="15.75">
      <c r="A34" s="421"/>
      <c r="B34" s="36"/>
      <c r="C34" s="32" t="s">
        <v>182</v>
      </c>
      <c r="D34" s="9" t="s">
        <v>20</v>
      </c>
      <c r="E34" s="9" t="s">
        <v>21</v>
      </c>
      <c r="F34" s="276">
        <v>5540</v>
      </c>
      <c r="G34" s="276">
        <v>6648</v>
      </c>
      <c r="H34" s="548"/>
    </row>
    <row r="35" spans="1:8" ht="15.75">
      <c r="A35" s="421"/>
      <c r="B35" s="36"/>
      <c r="C35" s="38"/>
      <c r="D35" s="9" t="s">
        <v>20</v>
      </c>
      <c r="E35" s="9" t="s">
        <v>24</v>
      </c>
      <c r="F35" s="276">
        <v>7916</v>
      </c>
      <c r="G35" s="276">
        <v>9499.199999999999</v>
      </c>
      <c r="H35" s="548"/>
    </row>
    <row r="36" spans="1:8" ht="15.75">
      <c r="A36" s="421"/>
      <c r="B36" s="36"/>
      <c r="C36" s="32" t="s">
        <v>39</v>
      </c>
      <c r="D36" s="9" t="s">
        <v>20</v>
      </c>
      <c r="E36" s="9" t="s">
        <v>21</v>
      </c>
      <c r="F36" s="276">
        <v>5996</v>
      </c>
      <c r="G36" s="276">
        <v>7195.2</v>
      </c>
      <c r="H36" s="548"/>
    </row>
    <row r="37" spans="1:8" ht="15.75">
      <c r="A37" s="421"/>
      <c r="B37" s="36"/>
      <c r="C37" s="38"/>
      <c r="D37" s="9" t="s">
        <v>20</v>
      </c>
      <c r="E37" s="9" t="s">
        <v>24</v>
      </c>
      <c r="F37" s="276">
        <v>8394</v>
      </c>
      <c r="G37" s="276">
        <v>10072.8</v>
      </c>
      <c r="H37" s="548"/>
    </row>
    <row r="38" spans="1:8" ht="15.75">
      <c r="A38" s="421"/>
      <c r="B38" s="36"/>
      <c r="C38" s="32" t="s">
        <v>183</v>
      </c>
      <c r="D38" s="9" t="s">
        <v>20</v>
      </c>
      <c r="E38" s="9" t="s">
        <v>21</v>
      </c>
      <c r="F38" s="276">
        <v>6473</v>
      </c>
      <c r="G38" s="276">
        <v>7767.599999999999</v>
      </c>
      <c r="H38" s="548"/>
    </row>
    <row r="39" spans="1:8" ht="15.75">
      <c r="A39" s="421"/>
      <c r="B39" s="36"/>
      <c r="C39" s="38"/>
      <c r="D39" s="9" t="s">
        <v>20</v>
      </c>
      <c r="E39" s="9" t="s">
        <v>24</v>
      </c>
      <c r="F39" s="276">
        <v>8757</v>
      </c>
      <c r="G39" s="276">
        <v>10508.4</v>
      </c>
      <c r="H39" s="548"/>
    </row>
    <row r="40" spans="1:8" ht="15.75">
      <c r="A40" s="421"/>
      <c r="B40" s="36"/>
      <c r="C40" s="32" t="s">
        <v>184</v>
      </c>
      <c r="D40" s="9" t="s">
        <v>20</v>
      </c>
      <c r="E40" s="9" t="s">
        <v>21</v>
      </c>
      <c r="F40" s="276">
        <v>6681</v>
      </c>
      <c r="G40" s="276">
        <v>8017.2</v>
      </c>
      <c r="H40" s="548"/>
    </row>
    <row r="41" spans="1:8" ht="15.75">
      <c r="A41" s="421"/>
      <c r="B41" s="36"/>
      <c r="C41" s="38"/>
      <c r="D41" s="9" t="s">
        <v>20</v>
      </c>
      <c r="E41" s="9" t="s">
        <v>24</v>
      </c>
      <c r="F41" s="276">
        <v>9379</v>
      </c>
      <c r="G41" s="276">
        <v>11254.8</v>
      </c>
      <c r="H41" s="548"/>
    </row>
    <row r="42" spans="1:8" ht="15.75">
      <c r="A42" s="421"/>
      <c r="B42" s="36"/>
      <c r="C42" s="32" t="s">
        <v>185</v>
      </c>
      <c r="D42" s="9" t="s">
        <v>20</v>
      </c>
      <c r="E42" s="9" t="s">
        <v>21</v>
      </c>
      <c r="F42" s="276">
        <v>6725</v>
      </c>
      <c r="G42" s="276">
        <v>8070</v>
      </c>
      <c r="H42" s="548"/>
    </row>
    <row r="43" spans="1:8" ht="15.75">
      <c r="A43" s="421"/>
      <c r="B43" s="36"/>
      <c r="C43" s="38"/>
      <c r="D43" s="9" t="s">
        <v>20</v>
      </c>
      <c r="E43" s="9" t="s">
        <v>24</v>
      </c>
      <c r="F43" s="276">
        <v>8975</v>
      </c>
      <c r="G43" s="276">
        <v>10770</v>
      </c>
      <c r="H43" s="548"/>
    </row>
    <row r="44" spans="1:8" ht="15.75">
      <c r="A44" s="421"/>
      <c r="B44" s="36"/>
      <c r="C44" s="32" t="s">
        <v>186</v>
      </c>
      <c r="D44" s="9" t="s">
        <v>20</v>
      </c>
      <c r="E44" s="9" t="s">
        <v>21</v>
      </c>
      <c r="F44" s="276">
        <v>7553</v>
      </c>
      <c r="G44" s="276">
        <v>9063.6</v>
      </c>
      <c r="H44" s="548"/>
    </row>
    <row r="45" spans="1:8" ht="15.75">
      <c r="A45" s="421"/>
      <c r="B45" s="36"/>
      <c r="C45" s="38"/>
      <c r="D45" s="9" t="s">
        <v>20</v>
      </c>
      <c r="E45" s="9" t="s">
        <v>24</v>
      </c>
      <c r="F45" s="276">
        <v>9922</v>
      </c>
      <c r="G45" s="276">
        <v>11906.4</v>
      </c>
      <c r="H45" s="548"/>
    </row>
    <row r="46" spans="1:8" ht="15.75">
      <c r="A46" s="421"/>
      <c r="B46" s="36"/>
      <c r="C46" s="32" t="s">
        <v>187</v>
      </c>
      <c r="D46" s="9" t="s">
        <v>20</v>
      </c>
      <c r="E46" s="9" t="s">
        <v>21</v>
      </c>
      <c r="F46" s="276">
        <v>7925</v>
      </c>
      <c r="G46" s="276">
        <v>9510</v>
      </c>
      <c r="H46" s="548"/>
    </row>
    <row r="47" spans="1:8" ht="15.75">
      <c r="A47" s="421"/>
      <c r="B47" s="36"/>
      <c r="C47" s="38"/>
      <c r="D47" s="9" t="s">
        <v>20</v>
      </c>
      <c r="E47" s="9" t="s">
        <v>24</v>
      </c>
      <c r="F47" s="276">
        <v>10251</v>
      </c>
      <c r="G47" s="276">
        <v>12301.199999999999</v>
      </c>
      <c r="H47" s="548"/>
    </row>
    <row r="48" spans="1:8" ht="15.75">
      <c r="A48" s="421"/>
      <c r="B48" s="36"/>
      <c r="C48" s="213" t="s">
        <v>257</v>
      </c>
      <c r="D48" s="9" t="s">
        <v>20</v>
      </c>
      <c r="E48" s="9" t="s">
        <v>21</v>
      </c>
      <c r="F48" s="276">
        <v>8526</v>
      </c>
      <c r="G48" s="276">
        <v>10231.199999999999</v>
      </c>
      <c r="H48" s="548"/>
    </row>
    <row r="49" spans="1:8" ht="15.75">
      <c r="A49" s="421"/>
      <c r="B49" s="36"/>
      <c r="C49" s="213"/>
      <c r="D49" s="9" t="s">
        <v>20</v>
      </c>
      <c r="E49" s="9" t="s">
        <v>24</v>
      </c>
      <c r="F49" s="276">
        <v>12134</v>
      </c>
      <c r="G49" s="276">
        <v>14560.8</v>
      </c>
      <c r="H49" s="548"/>
    </row>
    <row r="50" spans="1:8" ht="15.75">
      <c r="A50" s="421"/>
      <c r="B50" s="36"/>
      <c r="C50" s="213" t="s">
        <v>258</v>
      </c>
      <c r="D50" s="9" t="s">
        <v>20</v>
      </c>
      <c r="E50" s="9" t="s">
        <v>21</v>
      </c>
      <c r="F50" s="276">
        <v>9639</v>
      </c>
      <c r="G50" s="276">
        <v>11566.8</v>
      </c>
      <c r="H50" s="548"/>
    </row>
    <row r="51" spans="1:8" ht="15.75">
      <c r="A51" s="421"/>
      <c r="B51" s="36"/>
      <c r="C51" s="213"/>
      <c r="D51" s="9" t="s">
        <v>20</v>
      </c>
      <c r="E51" s="9" t="s">
        <v>24</v>
      </c>
      <c r="F51" s="276">
        <v>13414</v>
      </c>
      <c r="G51" s="276">
        <v>16096.8</v>
      </c>
      <c r="H51" s="548"/>
    </row>
    <row r="52" spans="1:8" ht="15.75">
      <c r="A52" s="421"/>
      <c r="B52" s="36"/>
      <c r="C52" s="213" t="s">
        <v>259</v>
      </c>
      <c r="D52" s="9" t="s">
        <v>20</v>
      </c>
      <c r="E52" s="9" t="s">
        <v>21</v>
      </c>
      <c r="F52" s="276">
        <v>10751</v>
      </c>
      <c r="G52" s="276">
        <v>12901.199999999999</v>
      </c>
      <c r="H52" s="548"/>
    </row>
    <row r="53" spans="1:8" ht="15.75">
      <c r="A53" s="421"/>
      <c r="B53" s="36"/>
      <c r="C53" s="213"/>
      <c r="D53" s="9" t="s">
        <v>20</v>
      </c>
      <c r="E53" s="9" t="s">
        <v>24</v>
      </c>
      <c r="F53" s="276">
        <v>14698</v>
      </c>
      <c r="G53" s="276">
        <v>17637.6</v>
      </c>
      <c r="H53" s="548"/>
    </row>
    <row r="54" spans="1:8" ht="15.75">
      <c r="A54" s="421"/>
      <c r="B54" s="36"/>
      <c r="C54" s="213" t="s">
        <v>260</v>
      </c>
      <c r="D54" s="9" t="s">
        <v>20</v>
      </c>
      <c r="E54" s="9" t="s">
        <v>21</v>
      </c>
      <c r="F54" s="276">
        <v>11864</v>
      </c>
      <c r="G54" s="276">
        <v>14236.8</v>
      </c>
      <c r="H54" s="548"/>
    </row>
    <row r="55" spans="1:8" ht="15.75">
      <c r="A55" s="421"/>
      <c r="B55" s="36"/>
      <c r="C55" s="213"/>
      <c r="D55" s="9" t="s">
        <v>20</v>
      </c>
      <c r="E55" s="9" t="s">
        <v>24</v>
      </c>
      <c r="F55" s="276">
        <v>15981</v>
      </c>
      <c r="G55" s="276">
        <v>19177.2</v>
      </c>
      <c r="H55" s="548"/>
    </row>
    <row r="56" spans="1:8" ht="15.75">
      <c r="A56" s="421"/>
      <c r="B56" s="36"/>
      <c r="C56" s="213" t="s">
        <v>261</v>
      </c>
      <c r="D56" s="9" t="s">
        <v>20</v>
      </c>
      <c r="E56" s="9" t="s">
        <v>21</v>
      </c>
      <c r="F56" s="276">
        <v>12978</v>
      </c>
      <c r="G56" s="276">
        <v>15573.599999999999</v>
      </c>
      <c r="H56" s="548"/>
    </row>
    <row r="57" spans="1:8" ht="15.75">
      <c r="A57" s="421"/>
      <c r="B57" s="36"/>
      <c r="C57" s="213"/>
      <c r="D57" s="9" t="s">
        <v>20</v>
      </c>
      <c r="E57" s="9" t="s">
        <v>24</v>
      </c>
      <c r="F57" s="276">
        <v>17261</v>
      </c>
      <c r="G57" s="276">
        <v>20713.2</v>
      </c>
      <c r="H57" s="548"/>
    </row>
    <row r="58" spans="1:8" ht="15.75">
      <c r="A58" s="421"/>
      <c r="B58" s="36"/>
      <c r="C58" s="213" t="s">
        <v>262</v>
      </c>
      <c r="D58" s="9" t="s">
        <v>20</v>
      </c>
      <c r="E58" s="9" t="s">
        <v>21</v>
      </c>
      <c r="F58" s="276">
        <v>14090</v>
      </c>
      <c r="G58" s="276">
        <v>16908</v>
      </c>
      <c r="H58" s="548"/>
    </row>
    <row r="59" spans="1:8" ht="15.75">
      <c r="A59" s="421"/>
      <c r="B59" s="36"/>
      <c r="C59" s="213"/>
      <c r="D59" s="9" t="s">
        <v>20</v>
      </c>
      <c r="E59" s="9" t="s">
        <v>24</v>
      </c>
      <c r="F59" s="276">
        <v>18544</v>
      </c>
      <c r="G59" s="276">
        <v>22252.8</v>
      </c>
      <c r="H59" s="548"/>
    </row>
    <row r="60" spans="1:8" ht="15.75">
      <c r="A60" s="421"/>
      <c r="B60" s="36"/>
      <c r="C60" s="213" t="s">
        <v>263</v>
      </c>
      <c r="D60" s="9" t="s">
        <v>20</v>
      </c>
      <c r="E60" s="9" t="s">
        <v>21</v>
      </c>
      <c r="F60" s="276">
        <v>15510</v>
      </c>
      <c r="G60" s="276">
        <v>18612</v>
      </c>
      <c r="H60" s="548"/>
    </row>
    <row r="61" spans="1:8" ht="15.75">
      <c r="A61" s="421"/>
      <c r="B61" s="36"/>
      <c r="C61" s="213"/>
      <c r="D61" s="9" t="s">
        <v>20</v>
      </c>
      <c r="E61" s="9" t="s">
        <v>24</v>
      </c>
      <c r="F61" s="276">
        <v>20206</v>
      </c>
      <c r="G61" s="276">
        <v>24247.2</v>
      </c>
      <c r="H61" s="548"/>
    </row>
    <row r="62" spans="1:8" ht="15.75">
      <c r="A62" s="421"/>
      <c r="B62" s="36"/>
      <c r="C62" s="213" t="s">
        <v>264</v>
      </c>
      <c r="D62" s="9" t="s">
        <v>20</v>
      </c>
      <c r="E62" s="9" t="s">
        <v>21</v>
      </c>
      <c r="F62" s="276">
        <v>16623</v>
      </c>
      <c r="G62" s="276">
        <v>19947.6</v>
      </c>
      <c r="H62" s="548"/>
    </row>
    <row r="63" spans="1:8" ht="15.75">
      <c r="A63" s="421"/>
      <c r="B63" s="36"/>
      <c r="C63" s="213"/>
      <c r="D63" s="9" t="s">
        <v>20</v>
      </c>
      <c r="E63" s="9" t="s">
        <v>24</v>
      </c>
      <c r="F63" s="276">
        <v>21487</v>
      </c>
      <c r="G63" s="276">
        <v>25784.399999999998</v>
      </c>
      <c r="H63" s="548"/>
    </row>
    <row r="64" spans="1:8" ht="15.75">
      <c r="A64" s="421"/>
      <c r="B64" s="36"/>
      <c r="C64" s="213" t="s">
        <v>265</v>
      </c>
      <c r="D64" s="9" t="s">
        <v>20</v>
      </c>
      <c r="E64" s="9" t="s">
        <v>21</v>
      </c>
      <c r="F64" s="276">
        <v>17733</v>
      </c>
      <c r="G64" s="276">
        <v>21279.6</v>
      </c>
      <c r="H64" s="548"/>
    </row>
    <row r="65" spans="1:8" ht="15.75">
      <c r="A65" s="421"/>
      <c r="B65" s="36"/>
      <c r="C65" s="213"/>
      <c r="D65" s="9" t="s">
        <v>20</v>
      </c>
      <c r="E65" s="9" t="s">
        <v>24</v>
      </c>
      <c r="F65" s="276">
        <v>22769</v>
      </c>
      <c r="G65" s="276">
        <v>27322.8</v>
      </c>
      <c r="H65" s="548"/>
    </row>
    <row r="66" spans="1:8" ht="15.75">
      <c r="A66" s="421"/>
      <c r="B66" s="36"/>
      <c r="C66" s="213" t="s">
        <v>266</v>
      </c>
      <c r="D66" s="9" t="s">
        <v>20</v>
      </c>
      <c r="E66" s="9" t="s">
        <v>21</v>
      </c>
      <c r="F66" s="276">
        <v>19083</v>
      </c>
      <c r="G66" s="276">
        <v>22899.6</v>
      </c>
      <c r="H66" s="548"/>
    </row>
    <row r="67" spans="1:8" ht="15.75">
      <c r="A67" s="421"/>
      <c r="B67" s="36"/>
      <c r="C67" s="213"/>
      <c r="D67" s="9" t="s">
        <v>20</v>
      </c>
      <c r="E67" s="9" t="s">
        <v>24</v>
      </c>
      <c r="F67" s="276">
        <v>23671</v>
      </c>
      <c r="G67" s="276">
        <v>28405.2</v>
      </c>
      <c r="H67" s="548"/>
    </row>
    <row r="68" spans="1:8" ht="15.75">
      <c r="A68" s="421"/>
      <c r="B68" s="36"/>
      <c r="C68" s="213" t="s">
        <v>267</v>
      </c>
      <c r="D68" s="9" t="s">
        <v>20</v>
      </c>
      <c r="E68" s="9" t="s">
        <v>21</v>
      </c>
      <c r="F68" s="276">
        <v>21379</v>
      </c>
      <c r="G68" s="276">
        <v>25654.8</v>
      </c>
      <c r="H68" s="548"/>
    </row>
    <row r="69" spans="1:8" ht="15.75">
      <c r="A69" s="421"/>
      <c r="B69" s="36"/>
      <c r="C69" s="213"/>
      <c r="D69" s="9" t="s">
        <v>20</v>
      </c>
      <c r="E69" s="9" t="s">
        <v>24</v>
      </c>
      <c r="F69" s="276">
        <v>26997</v>
      </c>
      <c r="G69" s="276">
        <v>32396.399999999998</v>
      </c>
      <c r="H69" s="548"/>
    </row>
    <row r="70" spans="1:8" ht="15.75">
      <c r="A70" s="421"/>
      <c r="B70" s="36"/>
      <c r="C70" s="213" t="s">
        <v>268</v>
      </c>
      <c r="D70" s="9" t="s">
        <v>20</v>
      </c>
      <c r="E70" s="9" t="s">
        <v>21</v>
      </c>
      <c r="F70" s="276">
        <v>24161</v>
      </c>
      <c r="G70" s="276">
        <v>28993.2</v>
      </c>
      <c r="H70" s="548"/>
    </row>
    <row r="71" spans="1:8" ht="15.75">
      <c r="A71" s="421"/>
      <c r="B71" s="36"/>
      <c r="C71" s="213"/>
      <c r="D71" s="9" t="s">
        <v>20</v>
      </c>
      <c r="E71" s="9" t="s">
        <v>24</v>
      </c>
      <c r="F71" s="276">
        <v>30199</v>
      </c>
      <c r="G71" s="276">
        <v>36238.799999999996</v>
      </c>
      <c r="H71" s="548"/>
    </row>
    <row r="72" spans="1:8" ht="15.75">
      <c r="A72" s="421"/>
      <c r="B72" s="36"/>
      <c r="C72" s="213" t="s">
        <v>269</v>
      </c>
      <c r="D72" s="9" t="s">
        <v>20</v>
      </c>
      <c r="E72" s="9" t="s">
        <v>21</v>
      </c>
      <c r="F72" s="276">
        <v>26943</v>
      </c>
      <c r="G72" s="276">
        <v>32331.6</v>
      </c>
      <c r="H72" s="548"/>
    </row>
    <row r="73" spans="1:8" ht="15.75">
      <c r="A73" s="421"/>
      <c r="B73" s="36"/>
      <c r="C73" s="213"/>
      <c r="D73" s="9" t="s">
        <v>20</v>
      </c>
      <c r="E73" s="9" t="s">
        <v>24</v>
      </c>
      <c r="F73" s="276">
        <v>33404</v>
      </c>
      <c r="G73" s="276">
        <v>40084.799999999996</v>
      </c>
      <c r="H73" s="548"/>
    </row>
    <row r="74" spans="1:8" ht="15.75">
      <c r="A74" s="421"/>
      <c r="B74" s="36"/>
      <c r="C74" s="213" t="s">
        <v>270</v>
      </c>
      <c r="D74" s="9" t="s">
        <v>20</v>
      </c>
      <c r="E74" s="9" t="s">
        <v>21</v>
      </c>
      <c r="F74" s="276">
        <v>29722</v>
      </c>
      <c r="G74" s="276">
        <v>35666.4</v>
      </c>
      <c r="H74" s="548"/>
    </row>
    <row r="75" spans="1:8" ht="15.75">
      <c r="A75" s="421"/>
      <c r="B75" s="36"/>
      <c r="C75" s="213"/>
      <c r="D75" s="9" t="s">
        <v>20</v>
      </c>
      <c r="E75" s="9" t="s">
        <v>24</v>
      </c>
      <c r="F75" s="276">
        <v>36609</v>
      </c>
      <c r="G75" s="276">
        <v>43930.799999999996</v>
      </c>
      <c r="H75" s="548"/>
    </row>
    <row r="76" spans="1:8" ht="15.75">
      <c r="A76" s="421"/>
      <c r="B76" s="36"/>
      <c r="C76" s="213" t="s">
        <v>271</v>
      </c>
      <c r="D76" s="9" t="s">
        <v>20</v>
      </c>
      <c r="E76" s="9" t="s">
        <v>21</v>
      </c>
      <c r="F76" s="276">
        <v>25236</v>
      </c>
      <c r="G76" s="276">
        <v>30283.199999999997</v>
      </c>
      <c r="H76" s="548"/>
    </row>
    <row r="77" spans="1:8" ht="15.75">
      <c r="A77" s="421"/>
      <c r="B77" s="36"/>
      <c r="C77" s="213"/>
      <c r="D77" s="9" t="s">
        <v>20</v>
      </c>
      <c r="E77" s="9" t="s">
        <v>24</v>
      </c>
      <c r="F77" s="276">
        <v>29903</v>
      </c>
      <c r="G77" s="276">
        <v>35883.6</v>
      </c>
      <c r="H77" s="548"/>
    </row>
    <row r="78" spans="1:8" ht="15.75">
      <c r="A78" s="421"/>
      <c r="B78" s="36"/>
      <c r="C78" s="213" t="s">
        <v>272</v>
      </c>
      <c r="D78" s="9" t="s">
        <v>20</v>
      </c>
      <c r="E78" s="9" t="s">
        <v>21</v>
      </c>
      <c r="F78" s="276">
        <v>35225</v>
      </c>
      <c r="G78" s="276">
        <v>42270</v>
      </c>
      <c r="H78" s="548"/>
    </row>
    <row r="79" spans="1:8" ht="15.75">
      <c r="A79" s="421"/>
      <c r="B79" s="36"/>
      <c r="C79" s="213"/>
      <c r="D79" s="9" t="s">
        <v>20</v>
      </c>
      <c r="E79" s="9" t="s">
        <v>24</v>
      </c>
      <c r="F79" s="276">
        <v>43020</v>
      </c>
      <c r="G79" s="276">
        <v>51624</v>
      </c>
      <c r="H79" s="548"/>
    </row>
    <row r="80" spans="1:8" ht="15.75">
      <c r="A80" s="421"/>
      <c r="B80" s="36"/>
      <c r="C80" s="213" t="s">
        <v>273</v>
      </c>
      <c r="D80" s="9" t="s">
        <v>20</v>
      </c>
      <c r="E80" s="9" t="s">
        <v>21</v>
      </c>
      <c r="F80" s="276">
        <v>38066</v>
      </c>
      <c r="G80" s="276">
        <v>45679.2</v>
      </c>
      <c r="H80" s="548"/>
    </row>
    <row r="81" spans="1:8" ht="15.75">
      <c r="A81" s="421"/>
      <c r="B81" s="36"/>
      <c r="C81" s="213"/>
      <c r="D81" s="9" t="s">
        <v>20</v>
      </c>
      <c r="E81" s="9" t="s">
        <v>24</v>
      </c>
      <c r="F81" s="276">
        <v>46224</v>
      </c>
      <c r="G81" s="276">
        <v>55468.799999999996</v>
      </c>
      <c r="H81" s="548"/>
    </row>
    <row r="82" spans="1:8" ht="15.75">
      <c r="A82" s="421"/>
      <c r="B82" s="36"/>
      <c r="C82" s="213" t="s">
        <v>274</v>
      </c>
      <c r="D82" s="9" t="s">
        <v>20</v>
      </c>
      <c r="E82" s="9" t="s">
        <v>21</v>
      </c>
      <c r="F82" s="276">
        <v>40847</v>
      </c>
      <c r="G82" s="276">
        <v>49016.4</v>
      </c>
      <c r="H82" s="548"/>
    </row>
    <row r="83" spans="1:8" ht="15.75">
      <c r="A83" s="421"/>
      <c r="B83" s="36"/>
      <c r="C83" s="213"/>
      <c r="D83" s="9" t="s">
        <v>20</v>
      </c>
      <c r="E83" s="9" t="s">
        <v>24</v>
      </c>
      <c r="F83" s="276">
        <v>49429</v>
      </c>
      <c r="G83" s="276">
        <v>59314.799999999996</v>
      </c>
      <c r="H83" s="548"/>
    </row>
    <row r="84" spans="1:8" ht="15.75">
      <c r="A84" s="421"/>
      <c r="B84" s="36"/>
      <c r="C84" s="213" t="s">
        <v>275</v>
      </c>
      <c r="D84" s="9" t="s">
        <v>20</v>
      </c>
      <c r="E84" s="9" t="s">
        <v>21</v>
      </c>
      <c r="F84" s="276">
        <v>44124</v>
      </c>
      <c r="G84" s="276">
        <v>52948.799999999996</v>
      </c>
      <c r="H84" s="548"/>
    </row>
    <row r="85" spans="1:8" ht="15.75">
      <c r="A85" s="421"/>
      <c r="B85" s="36"/>
      <c r="C85" s="213"/>
      <c r="D85" s="9" t="s">
        <v>20</v>
      </c>
      <c r="E85" s="9" t="s">
        <v>24</v>
      </c>
      <c r="F85" s="276">
        <v>53154</v>
      </c>
      <c r="G85" s="276">
        <v>63784.799999999996</v>
      </c>
      <c r="H85" s="548"/>
    </row>
    <row r="86" spans="1:8" ht="15.75">
      <c r="A86" s="421"/>
      <c r="B86" s="36"/>
      <c r="C86" s="213" t="s">
        <v>276</v>
      </c>
      <c r="D86" s="9" t="s">
        <v>20</v>
      </c>
      <c r="E86" s="9" t="s">
        <v>21</v>
      </c>
      <c r="F86" s="276">
        <v>50797</v>
      </c>
      <c r="G86" s="276">
        <v>60956.399999999994</v>
      </c>
      <c r="H86" s="548"/>
    </row>
    <row r="87" spans="1:8" ht="15.75">
      <c r="A87" s="421"/>
      <c r="B87" s="36"/>
      <c r="C87" s="213"/>
      <c r="D87" s="9" t="s">
        <v>20</v>
      </c>
      <c r="E87" s="9" t="s">
        <v>24</v>
      </c>
      <c r="F87" s="276">
        <v>60449</v>
      </c>
      <c r="G87" s="276">
        <v>72538.8</v>
      </c>
      <c r="H87" s="548"/>
    </row>
    <row r="88" spans="1:8" ht="15.75">
      <c r="A88" s="421"/>
      <c r="B88" s="36"/>
      <c r="C88" s="213" t="s">
        <v>277</v>
      </c>
      <c r="D88" s="9" t="s">
        <v>20</v>
      </c>
      <c r="E88" s="9" t="s">
        <v>21</v>
      </c>
      <c r="F88" s="276">
        <v>55247</v>
      </c>
      <c r="G88" s="276">
        <v>66296.4</v>
      </c>
      <c r="H88" s="548"/>
    </row>
    <row r="89" spans="1:8" ht="15.75">
      <c r="A89" s="421"/>
      <c r="B89" s="36"/>
      <c r="C89" s="213"/>
      <c r="D89" s="9" t="s">
        <v>20</v>
      </c>
      <c r="E89" s="9" t="s">
        <v>24</v>
      </c>
      <c r="F89" s="276">
        <v>65974</v>
      </c>
      <c r="G89" s="276">
        <v>79168.8</v>
      </c>
      <c r="H89" s="548"/>
    </row>
    <row r="90" spans="1:8" ht="15.75">
      <c r="A90" s="421"/>
      <c r="B90" s="36"/>
      <c r="C90" s="213" t="s">
        <v>278</v>
      </c>
      <c r="D90" s="9" t="s">
        <v>20</v>
      </c>
      <c r="E90" s="9" t="s">
        <v>21</v>
      </c>
      <c r="F90" s="276">
        <v>61533</v>
      </c>
      <c r="G90" s="276">
        <v>73839.59999999999</v>
      </c>
      <c r="H90" s="548"/>
    </row>
    <row r="91" spans="1:8" ht="15.75">
      <c r="A91" s="421"/>
      <c r="B91" s="36"/>
      <c r="C91" s="213"/>
      <c r="D91" s="9" t="s">
        <v>20</v>
      </c>
      <c r="E91" s="9" t="s">
        <v>24</v>
      </c>
      <c r="F91" s="276">
        <v>72886</v>
      </c>
      <c r="G91" s="276">
        <v>87463.2</v>
      </c>
      <c r="H91" s="548"/>
    </row>
    <row r="92" spans="1:8" ht="15.75">
      <c r="A92" s="421"/>
      <c r="B92" s="36"/>
      <c r="C92" s="213" t="s">
        <v>279</v>
      </c>
      <c r="D92" s="9" t="s">
        <v>20</v>
      </c>
      <c r="E92" s="9" t="s">
        <v>21</v>
      </c>
      <c r="F92" s="276">
        <v>68158</v>
      </c>
      <c r="G92" s="276">
        <v>81789.59999999999</v>
      </c>
      <c r="H92" s="548"/>
    </row>
    <row r="93" spans="1:8" ht="15.75">
      <c r="A93" s="421"/>
      <c r="B93" s="36"/>
      <c r="C93" s="213"/>
      <c r="D93" s="9" t="s">
        <v>20</v>
      </c>
      <c r="E93" s="9" t="s">
        <v>24</v>
      </c>
      <c r="F93" s="276">
        <v>78981</v>
      </c>
      <c r="G93" s="276">
        <v>94777.2</v>
      </c>
      <c r="H93" s="548"/>
    </row>
    <row r="94" spans="1:8" ht="15.75">
      <c r="A94" s="421"/>
      <c r="B94" s="36"/>
      <c r="C94" s="213" t="s">
        <v>280</v>
      </c>
      <c r="D94" s="9" t="s">
        <v>20</v>
      </c>
      <c r="E94" s="9" t="s">
        <v>21</v>
      </c>
      <c r="F94" s="276">
        <v>76426</v>
      </c>
      <c r="G94" s="276">
        <v>91711.2</v>
      </c>
      <c r="H94" s="548"/>
    </row>
    <row r="95" spans="1:8" ht="15.75">
      <c r="A95" s="421"/>
      <c r="B95" s="36"/>
      <c r="C95" s="213"/>
      <c r="D95" s="9" t="s">
        <v>20</v>
      </c>
      <c r="E95" s="9" t="s">
        <v>24</v>
      </c>
      <c r="F95" s="276">
        <v>87174</v>
      </c>
      <c r="G95" s="276">
        <v>104608.8</v>
      </c>
      <c r="H95" s="434"/>
    </row>
    <row r="96" spans="1:8" ht="15.75">
      <c r="A96" s="421"/>
      <c r="B96" s="36"/>
      <c r="C96" s="32" t="s">
        <v>281</v>
      </c>
      <c r="D96" s="9" t="s">
        <v>20</v>
      </c>
      <c r="E96" s="9" t="s">
        <v>21</v>
      </c>
      <c r="F96" s="276">
        <v>1732</v>
      </c>
      <c r="G96" s="276">
        <v>2078.4</v>
      </c>
      <c r="H96" s="277" t="s">
        <v>282</v>
      </c>
    </row>
    <row r="97" spans="1:8" ht="15.75">
      <c r="A97" s="421"/>
      <c r="B97" s="36"/>
      <c r="C97" s="589"/>
      <c r="D97" s="9" t="s">
        <v>20</v>
      </c>
      <c r="E97" s="9" t="s">
        <v>24</v>
      </c>
      <c r="F97" s="276">
        <v>1871</v>
      </c>
      <c r="G97" s="276">
        <v>2245.2</v>
      </c>
      <c r="H97" s="277"/>
    </row>
    <row r="98" spans="1:8" ht="15.75">
      <c r="A98" s="421"/>
      <c r="B98" s="36"/>
      <c r="C98" s="213" t="s">
        <v>203</v>
      </c>
      <c r="D98" s="9" t="s">
        <v>20</v>
      </c>
      <c r="E98" s="9" t="s">
        <v>21</v>
      </c>
      <c r="F98" s="276"/>
      <c r="G98" s="276">
        <v>2830.8199999999997</v>
      </c>
      <c r="H98" s="277"/>
    </row>
    <row r="99" spans="1:8" ht="15.75">
      <c r="A99" s="422"/>
      <c r="B99" s="41"/>
      <c r="C99" s="213"/>
      <c r="D99" s="9" t="s">
        <v>20</v>
      </c>
      <c r="E99" s="9" t="s">
        <v>24</v>
      </c>
      <c r="F99" s="276"/>
      <c r="G99" s="276">
        <v>3021.98</v>
      </c>
      <c r="H99" s="277"/>
    </row>
    <row r="100" spans="1:8" ht="15.75">
      <c r="A100" s="420" t="s">
        <v>50</v>
      </c>
      <c r="B100" s="30" t="s">
        <v>283</v>
      </c>
      <c r="C100" s="306" t="s">
        <v>52</v>
      </c>
      <c r="D100" s="306"/>
      <c r="E100" s="306"/>
      <c r="F100" s="306"/>
      <c r="G100" s="306"/>
      <c r="H100" s="310"/>
    </row>
    <row r="101" spans="1:8" ht="15.75">
      <c r="A101" s="421"/>
      <c r="B101" s="36"/>
      <c r="C101" s="213" t="s">
        <v>53</v>
      </c>
      <c r="D101" s="213" t="s">
        <v>20</v>
      </c>
      <c r="E101" s="9" t="s">
        <v>21</v>
      </c>
      <c r="F101" s="214">
        <v>3493</v>
      </c>
      <c r="G101" s="214">
        <v>4191.599999999999</v>
      </c>
      <c r="H101" s="427" t="s">
        <v>54</v>
      </c>
    </row>
    <row r="102" spans="1:8" ht="15.75">
      <c r="A102" s="421"/>
      <c r="B102" s="36"/>
      <c r="C102" s="213"/>
      <c r="D102" s="213"/>
      <c r="E102" s="9" t="s">
        <v>21</v>
      </c>
      <c r="F102" s="214">
        <v>3703</v>
      </c>
      <c r="G102" s="214">
        <v>4443.599999999999</v>
      </c>
      <c r="H102" s="427" t="s">
        <v>55</v>
      </c>
    </row>
    <row r="103" spans="1:8" ht="15.75">
      <c r="A103" s="421"/>
      <c r="B103" s="36"/>
      <c r="C103" s="213"/>
      <c r="D103" s="213"/>
      <c r="E103" s="9" t="s">
        <v>253</v>
      </c>
      <c r="F103" s="214">
        <v>3861</v>
      </c>
      <c r="G103" s="214">
        <v>4633.2</v>
      </c>
      <c r="H103" s="308"/>
    </row>
    <row r="104" spans="1:8" ht="15.75">
      <c r="A104" s="421"/>
      <c r="B104" s="36"/>
      <c r="C104" s="213" t="s">
        <v>56</v>
      </c>
      <c r="D104" s="213" t="s">
        <v>20</v>
      </c>
      <c r="E104" s="9" t="s">
        <v>21</v>
      </c>
      <c r="F104" s="214">
        <v>2143</v>
      </c>
      <c r="G104" s="214">
        <v>2571.6</v>
      </c>
      <c r="H104" s="427" t="s">
        <v>54</v>
      </c>
    </row>
    <row r="105" spans="1:8" ht="15.75">
      <c r="A105" s="421"/>
      <c r="B105" s="36"/>
      <c r="C105" s="213"/>
      <c r="D105" s="213"/>
      <c r="E105" s="9" t="s">
        <v>21</v>
      </c>
      <c r="F105" s="214">
        <v>2353</v>
      </c>
      <c r="G105" s="214">
        <v>2823.6</v>
      </c>
      <c r="H105" s="427" t="s">
        <v>55</v>
      </c>
    </row>
    <row r="106" spans="1:8" ht="15.75">
      <c r="A106" s="421"/>
      <c r="B106" s="36"/>
      <c r="C106" s="213"/>
      <c r="D106" s="213"/>
      <c r="E106" s="9" t="s">
        <v>253</v>
      </c>
      <c r="F106" s="214">
        <v>2353</v>
      </c>
      <c r="G106" s="214">
        <v>2823.6</v>
      </c>
      <c r="H106" s="427"/>
    </row>
    <row r="107" spans="1:8" ht="15.75">
      <c r="A107" s="421"/>
      <c r="B107" s="36"/>
      <c r="C107" s="213" t="s">
        <v>56</v>
      </c>
      <c r="D107" s="213" t="s">
        <v>20</v>
      </c>
      <c r="E107" s="9" t="s">
        <v>21</v>
      </c>
      <c r="F107" s="214">
        <v>1755</v>
      </c>
      <c r="G107" s="214">
        <v>2106</v>
      </c>
      <c r="H107" s="309" t="s">
        <v>205</v>
      </c>
    </row>
    <row r="108" spans="1:8" ht="15.75">
      <c r="A108" s="422"/>
      <c r="B108" s="41"/>
      <c r="C108" s="213"/>
      <c r="D108" s="213"/>
      <c r="E108" s="9" t="s">
        <v>253</v>
      </c>
      <c r="F108" s="214">
        <v>1913</v>
      </c>
      <c r="G108" s="214">
        <v>2295.6</v>
      </c>
      <c r="H108" s="309" t="s">
        <v>205</v>
      </c>
    </row>
    <row r="109" spans="1:8" ht="15.75">
      <c r="A109" s="307" t="s">
        <v>58</v>
      </c>
      <c r="B109" s="306" t="s">
        <v>59</v>
      </c>
      <c r="C109" s="213" t="s">
        <v>60</v>
      </c>
      <c r="D109" s="213" t="s">
        <v>20</v>
      </c>
      <c r="E109" s="9" t="s">
        <v>21</v>
      </c>
      <c r="F109" s="213"/>
      <c r="G109" s="213"/>
      <c r="H109" s="277"/>
    </row>
    <row r="110" spans="1:8" ht="15.75">
      <c r="A110" s="307"/>
      <c r="B110" s="306"/>
      <c r="C110" s="213"/>
      <c r="D110" s="213"/>
      <c r="E110" s="9" t="s">
        <v>253</v>
      </c>
      <c r="F110" s="213"/>
      <c r="G110" s="213"/>
      <c r="H110" s="277"/>
    </row>
    <row r="111" spans="1:8" ht="15.75">
      <c r="A111" s="307"/>
      <c r="B111" s="306"/>
      <c r="C111" s="213"/>
      <c r="D111" s="9" t="s">
        <v>25</v>
      </c>
      <c r="E111" s="9" t="s">
        <v>25</v>
      </c>
      <c r="F111" s="213"/>
      <c r="G111" s="213"/>
      <c r="H111" s="277"/>
    </row>
    <row r="112" spans="1:8" ht="15.75">
      <c r="A112" s="305" t="s">
        <v>61</v>
      </c>
      <c r="B112" s="306"/>
      <c r="C112" s="306"/>
      <c r="D112" s="306"/>
      <c r="E112" s="306"/>
      <c r="F112" s="306"/>
      <c r="G112" s="306"/>
      <c r="H112" s="310"/>
    </row>
    <row r="113" spans="1:8" ht="15.75">
      <c r="A113" s="305" t="s">
        <v>62</v>
      </c>
      <c r="B113" s="306"/>
      <c r="C113" s="306" t="s">
        <v>63</v>
      </c>
      <c r="D113" s="306"/>
      <c r="E113" s="306"/>
      <c r="F113" s="306"/>
      <c r="G113" s="306"/>
      <c r="H113" s="310"/>
    </row>
    <row r="114" spans="1:8" ht="15.75">
      <c r="A114" s="307" t="s">
        <v>206</v>
      </c>
      <c r="B114" s="306" t="s">
        <v>284</v>
      </c>
      <c r="C114" s="213" t="s">
        <v>65</v>
      </c>
      <c r="D114" s="213" t="s">
        <v>20</v>
      </c>
      <c r="E114" s="194" t="s">
        <v>21</v>
      </c>
      <c r="F114" s="213"/>
      <c r="G114" s="213"/>
      <c r="H114" s="277"/>
    </row>
    <row r="115" spans="1:8" ht="15.75">
      <c r="A115" s="307"/>
      <c r="B115" s="306"/>
      <c r="C115" s="213"/>
      <c r="D115" s="213"/>
      <c r="E115" s="194" t="s">
        <v>285</v>
      </c>
      <c r="F115" s="213"/>
      <c r="G115" s="213"/>
      <c r="H115" s="277"/>
    </row>
    <row r="116" spans="1:8" ht="15.75">
      <c r="A116" s="307"/>
      <c r="B116" s="306"/>
      <c r="C116" s="213"/>
      <c r="D116" s="9" t="s">
        <v>25</v>
      </c>
      <c r="E116" s="44"/>
      <c r="F116" s="213"/>
      <c r="G116" s="213"/>
      <c r="H116" s="277"/>
    </row>
    <row r="117" spans="1:8" ht="15.75">
      <c r="A117" s="420" t="s">
        <v>207</v>
      </c>
      <c r="B117" s="30" t="s">
        <v>286</v>
      </c>
      <c r="C117" s="32" t="s">
        <v>67</v>
      </c>
      <c r="D117" s="9" t="s">
        <v>68</v>
      </c>
      <c r="E117" s="194" t="s">
        <v>20</v>
      </c>
      <c r="F117" s="33" t="s">
        <v>22</v>
      </c>
      <c r="G117" s="34"/>
      <c r="H117" s="429" t="s">
        <v>69</v>
      </c>
    </row>
    <row r="118" spans="1:8" ht="15.75">
      <c r="A118" s="421"/>
      <c r="B118" s="36"/>
      <c r="C118" s="39"/>
      <c r="D118" s="287" t="s">
        <v>70</v>
      </c>
      <c r="E118" s="194" t="s">
        <v>25</v>
      </c>
      <c r="F118" s="33" t="s">
        <v>22</v>
      </c>
      <c r="G118" s="34"/>
      <c r="H118" s="434"/>
    </row>
    <row r="119" spans="1:8" ht="110.25">
      <c r="A119" s="421"/>
      <c r="B119" s="36"/>
      <c r="C119" s="39"/>
      <c r="D119" s="32" t="s">
        <v>68</v>
      </c>
      <c r="E119" s="311" t="s">
        <v>71</v>
      </c>
      <c r="F119" s="214">
        <v>697</v>
      </c>
      <c r="G119" s="195">
        <v>836.4</v>
      </c>
      <c r="H119" s="427" t="s">
        <v>287</v>
      </c>
    </row>
    <row r="120" spans="1:8" ht="110.25">
      <c r="A120" s="421"/>
      <c r="B120" s="36"/>
      <c r="C120" s="39"/>
      <c r="D120" s="39"/>
      <c r="E120" s="312"/>
      <c r="F120" s="214">
        <v>1045</v>
      </c>
      <c r="G120" s="195">
        <v>1254</v>
      </c>
      <c r="H120" s="427" t="s">
        <v>288</v>
      </c>
    </row>
    <row r="121" spans="1:8" ht="110.25">
      <c r="A121" s="421"/>
      <c r="B121" s="36"/>
      <c r="C121" s="39"/>
      <c r="D121" s="39"/>
      <c r="E121" s="311" t="s">
        <v>253</v>
      </c>
      <c r="F121" s="214">
        <v>1201</v>
      </c>
      <c r="G121" s="195">
        <v>1441.2</v>
      </c>
      <c r="H121" s="427" t="s">
        <v>289</v>
      </c>
    </row>
    <row r="122" spans="1:8" ht="110.25">
      <c r="A122" s="421"/>
      <c r="B122" s="36"/>
      <c r="C122" s="39"/>
      <c r="D122" s="39"/>
      <c r="E122" s="312"/>
      <c r="F122" s="214">
        <v>1802</v>
      </c>
      <c r="G122" s="195">
        <v>2162.4</v>
      </c>
      <c r="H122" s="427" t="s">
        <v>290</v>
      </c>
    </row>
    <row r="123" spans="1:8" ht="15.75">
      <c r="A123" s="421"/>
      <c r="B123" s="36"/>
      <c r="C123" s="39"/>
      <c r="D123" s="39"/>
      <c r="E123" s="194" t="s">
        <v>71</v>
      </c>
      <c r="F123" s="214">
        <v>134</v>
      </c>
      <c r="G123" s="195">
        <v>160.79999999999998</v>
      </c>
      <c r="H123" s="552" t="s">
        <v>291</v>
      </c>
    </row>
    <row r="124" spans="1:8" ht="15.75">
      <c r="A124" s="421"/>
      <c r="B124" s="36"/>
      <c r="C124" s="39"/>
      <c r="D124" s="38"/>
      <c r="E124" s="194" t="s">
        <v>253</v>
      </c>
      <c r="F124" s="214">
        <v>231</v>
      </c>
      <c r="G124" s="195">
        <v>277.2</v>
      </c>
      <c r="H124" s="565"/>
    </row>
    <row r="125" spans="1:8" ht="78.75">
      <c r="A125" s="421"/>
      <c r="B125" s="36"/>
      <c r="C125" s="39"/>
      <c r="D125" s="32" t="s">
        <v>210</v>
      </c>
      <c r="E125" s="194" t="s">
        <v>25</v>
      </c>
      <c r="F125" s="216">
        <v>2112</v>
      </c>
      <c r="G125" s="195">
        <v>2534.4</v>
      </c>
      <c r="H125" s="427" t="s">
        <v>292</v>
      </c>
    </row>
    <row r="126" spans="1:8" ht="63">
      <c r="A126" s="422"/>
      <c r="B126" s="41"/>
      <c r="C126" s="38"/>
      <c r="D126" s="38"/>
      <c r="E126" s="194" t="s">
        <v>25</v>
      </c>
      <c r="F126" s="216">
        <v>3168</v>
      </c>
      <c r="G126" s="195">
        <v>3801.6</v>
      </c>
      <c r="H126" s="427" t="s">
        <v>212</v>
      </c>
    </row>
    <row r="127" spans="1:8" ht="15.75">
      <c r="A127" s="307" t="s">
        <v>213</v>
      </c>
      <c r="B127" s="306" t="s">
        <v>214</v>
      </c>
      <c r="C127" s="213" t="s">
        <v>80</v>
      </c>
      <c r="D127" s="213" t="s">
        <v>20</v>
      </c>
      <c r="E127" s="194" t="s">
        <v>21</v>
      </c>
      <c r="F127" s="213"/>
      <c r="G127" s="213"/>
      <c r="H127" s="277"/>
    </row>
    <row r="128" spans="1:8" ht="15.75">
      <c r="A128" s="307"/>
      <c r="B128" s="306"/>
      <c r="C128" s="213"/>
      <c r="D128" s="213"/>
      <c r="E128" s="194" t="s">
        <v>253</v>
      </c>
      <c r="F128" s="213"/>
      <c r="G128" s="213"/>
      <c r="H128" s="277"/>
    </row>
    <row r="129" spans="1:8" ht="15.75">
      <c r="A129" s="307"/>
      <c r="B129" s="306"/>
      <c r="C129" s="213"/>
      <c r="D129" s="9" t="s">
        <v>25</v>
      </c>
      <c r="E129" s="194"/>
      <c r="F129" s="213"/>
      <c r="G129" s="213"/>
      <c r="H129" s="277"/>
    </row>
    <row r="130" spans="1:8" ht="15.75">
      <c r="A130" s="305" t="s">
        <v>81</v>
      </c>
      <c r="B130" s="30"/>
      <c r="C130" s="306" t="s">
        <v>82</v>
      </c>
      <c r="D130" s="306"/>
      <c r="E130" s="306"/>
      <c r="F130" s="306"/>
      <c r="G130" s="306"/>
      <c r="H130" s="310"/>
    </row>
    <row r="131" spans="1:8" s="466" customFormat="1" ht="15.75">
      <c r="A131" s="588">
        <v>10</v>
      </c>
      <c r="B131" s="380" t="s">
        <v>83</v>
      </c>
      <c r="C131" s="384" t="s">
        <v>84</v>
      </c>
      <c r="D131" s="385"/>
      <c r="E131" s="385"/>
      <c r="F131" s="385"/>
      <c r="G131" s="385"/>
      <c r="H131" s="590"/>
    </row>
    <row r="132" spans="1:8" s="466" customFormat="1" ht="15.75">
      <c r="A132" s="541"/>
      <c r="B132" s="381"/>
      <c r="C132" s="197" t="s">
        <v>293</v>
      </c>
      <c r="D132" s="315" t="s">
        <v>87</v>
      </c>
      <c r="E132" s="193" t="s">
        <v>100</v>
      </c>
      <c r="F132" s="214">
        <v>250</v>
      </c>
      <c r="G132" s="216">
        <v>300</v>
      </c>
      <c r="H132" s="591" t="s">
        <v>761</v>
      </c>
    </row>
    <row r="133" spans="1:8" s="466" customFormat="1" ht="15.75">
      <c r="A133" s="541"/>
      <c r="B133" s="381"/>
      <c r="C133" s="197"/>
      <c r="D133" s="315"/>
      <c r="E133" s="316" t="s">
        <v>21</v>
      </c>
      <c r="F133" s="216">
        <v>869</v>
      </c>
      <c r="G133" s="216">
        <v>1042.8</v>
      </c>
      <c r="H133" s="591"/>
    </row>
    <row r="134" spans="1:8" s="466" customFormat="1" ht="47.25">
      <c r="A134" s="541"/>
      <c r="B134" s="381"/>
      <c r="C134" s="193" t="s">
        <v>89</v>
      </c>
      <c r="D134" s="315"/>
      <c r="E134" s="316"/>
      <c r="F134" s="216">
        <v>974</v>
      </c>
      <c r="G134" s="216">
        <v>1168.8</v>
      </c>
      <c r="H134" s="591"/>
    </row>
    <row r="135" spans="1:8" s="466" customFormat="1" ht="15.75">
      <c r="A135" s="541"/>
      <c r="B135" s="381"/>
      <c r="C135" s="197" t="s">
        <v>91</v>
      </c>
      <c r="D135" s="315" t="s">
        <v>87</v>
      </c>
      <c r="E135" s="194" t="s">
        <v>100</v>
      </c>
      <c r="F135" s="216">
        <v>250</v>
      </c>
      <c r="G135" s="216">
        <v>300</v>
      </c>
      <c r="H135" s="591"/>
    </row>
    <row r="136" spans="1:8" s="466" customFormat="1" ht="15.75">
      <c r="A136" s="541"/>
      <c r="B136" s="381"/>
      <c r="C136" s="197"/>
      <c r="D136" s="315"/>
      <c r="E136" s="194" t="s">
        <v>76</v>
      </c>
      <c r="F136" s="216">
        <v>675</v>
      </c>
      <c r="G136" s="216">
        <v>810</v>
      </c>
      <c r="H136" s="591"/>
    </row>
    <row r="137" spans="1:8" s="466" customFormat="1" ht="31.5">
      <c r="A137" s="541"/>
      <c r="B137" s="381"/>
      <c r="C137" s="193" t="s">
        <v>92</v>
      </c>
      <c r="D137" s="315" t="s">
        <v>87</v>
      </c>
      <c r="E137" s="316" t="s">
        <v>253</v>
      </c>
      <c r="F137" s="216">
        <v>974</v>
      </c>
      <c r="G137" s="216">
        <v>1168.8</v>
      </c>
      <c r="H137" s="591"/>
    </row>
    <row r="138" spans="1:8" s="466" customFormat="1" ht="31.5">
      <c r="A138" s="541"/>
      <c r="B138" s="381"/>
      <c r="C138" s="193" t="s">
        <v>91</v>
      </c>
      <c r="D138" s="315"/>
      <c r="E138" s="316"/>
      <c r="F138" s="216">
        <v>754</v>
      </c>
      <c r="G138" s="216">
        <v>904.8</v>
      </c>
      <c r="H138" s="591"/>
    </row>
    <row r="139" spans="1:8" s="466" customFormat="1" ht="15.75">
      <c r="A139" s="541"/>
      <c r="B139" s="381"/>
      <c r="C139" s="197" t="s">
        <v>91</v>
      </c>
      <c r="D139" s="315" t="s">
        <v>87</v>
      </c>
      <c r="E139" s="194" t="s">
        <v>76</v>
      </c>
      <c r="F139" s="216">
        <v>405</v>
      </c>
      <c r="G139" s="216">
        <v>486</v>
      </c>
      <c r="H139" s="591" t="s">
        <v>294</v>
      </c>
    </row>
    <row r="140" spans="1:8" s="466" customFormat="1" ht="15.75">
      <c r="A140" s="322"/>
      <c r="B140" s="382"/>
      <c r="C140" s="197"/>
      <c r="D140" s="315"/>
      <c r="E140" s="194" t="s">
        <v>253</v>
      </c>
      <c r="F140" s="216">
        <v>453</v>
      </c>
      <c r="G140" s="216">
        <v>543.6</v>
      </c>
      <c r="H140" s="591"/>
    </row>
    <row r="141" spans="1:8" s="466" customFormat="1" ht="15.75">
      <c r="A141" s="320">
        <v>11</v>
      </c>
      <c r="B141" s="30" t="s">
        <v>93</v>
      </c>
      <c r="C141" s="27" t="s">
        <v>94</v>
      </c>
      <c r="D141" s="27"/>
      <c r="E141" s="27"/>
      <c r="F141" s="27"/>
      <c r="G141" s="27"/>
      <c r="H141" s="379"/>
    </row>
    <row r="142" spans="1:8" s="466" customFormat="1" ht="31.5">
      <c r="A142" s="541"/>
      <c r="B142" s="36"/>
      <c r="C142" s="317" t="s">
        <v>95</v>
      </c>
      <c r="D142" s="315" t="s">
        <v>96</v>
      </c>
      <c r="E142" s="316" t="s">
        <v>21</v>
      </c>
      <c r="F142" s="222">
        <v>38</v>
      </c>
      <c r="G142" s="222">
        <v>45.6</v>
      </c>
      <c r="H142" s="234" t="s">
        <v>295</v>
      </c>
    </row>
    <row r="143" spans="1:8" s="466" customFormat="1" ht="141.75">
      <c r="A143" s="541"/>
      <c r="B143" s="36"/>
      <c r="C143" s="317" t="s">
        <v>95</v>
      </c>
      <c r="D143" s="315"/>
      <c r="E143" s="316"/>
      <c r="F143" s="222">
        <v>145</v>
      </c>
      <c r="G143" s="222">
        <v>174</v>
      </c>
      <c r="H143" s="234" t="s">
        <v>759</v>
      </c>
    </row>
    <row r="144" spans="1:12" s="247" customFormat="1" ht="15.75">
      <c r="A144" s="541"/>
      <c r="B144" s="36"/>
      <c r="C144" s="317" t="s">
        <v>296</v>
      </c>
      <c r="D144" s="315"/>
      <c r="E144" s="316"/>
      <c r="F144" s="222">
        <v>2015</v>
      </c>
      <c r="G144" s="222">
        <v>2418</v>
      </c>
      <c r="H144" s="234"/>
      <c r="I144" s="466"/>
      <c r="J144" s="466"/>
      <c r="K144" s="466"/>
      <c r="L144" s="466"/>
    </row>
    <row r="145" spans="1:12" s="247" customFormat="1" ht="110.25">
      <c r="A145" s="541"/>
      <c r="B145" s="36"/>
      <c r="C145" s="317" t="s">
        <v>99</v>
      </c>
      <c r="D145" s="315"/>
      <c r="E145" s="316"/>
      <c r="F145" s="222">
        <v>1844</v>
      </c>
      <c r="G145" s="222">
        <v>2212.7999999999997</v>
      </c>
      <c r="H145" s="234" t="s">
        <v>222</v>
      </c>
      <c r="I145" s="466"/>
      <c r="J145" s="466"/>
      <c r="K145" s="466"/>
      <c r="L145" s="466"/>
    </row>
    <row r="146" spans="1:12" s="247" customFormat="1" ht="31.5">
      <c r="A146" s="541"/>
      <c r="B146" s="36"/>
      <c r="C146" s="317" t="s">
        <v>95</v>
      </c>
      <c r="D146" s="210" t="s">
        <v>96</v>
      </c>
      <c r="E146" s="316" t="s">
        <v>24</v>
      </c>
      <c r="F146" s="222">
        <v>64</v>
      </c>
      <c r="G146" s="222">
        <v>76.8</v>
      </c>
      <c r="H146" s="234" t="s">
        <v>297</v>
      </c>
      <c r="I146" s="466"/>
      <c r="J146" s="466"/>
      <c r="K146" s="466"/>
      <c r="L146" s="466"/>
    </row>
    <row r="147" spans="1:12" s="247" customFormat="1" ht="141.75">
      <c r="A147" s="541"/>
      <c r="B147" s="36"/>
      <c r="C147" s="317" t="s">
        <v>95</v>
      </c>
      <c r="D147" s="221"/>
      <c r="E147" s="316"/>
      <c r="F147" s="222">
        <v>278</v>
      </c>
      <c r="G147" s="222">
        <v>333.59999999999997</v>
      </c>
      <c r="H147" s="234" t="s">
        <v>758</v>
      </c>
      <c r="I147" s="466"/>
      <c r="J147" s="466"/>
      <c r="K147" s="466"/>
      <c r="L147" s="466"/>
    </row>
    <row r="148" spans="1:12" s="247" customFormat="1" ht="15.75">
      <c r="A148" s="541"/>
      <c r="B148" s="36"/>
      <c r="C148" s="317" t="s">
        <v>296</v>
      </c>
      <c r="D148" s="221"/>
      <c r="E148" s="316"/>
      <c r="F148" s="222">
        <v>2308</v>
      </c>
      <c r="G148" s="222">
        <v>2769.6</v>
      </c>
      <c r="H148" s="234"/>
      <c r="I148" s="466"/>
      <c r="J148" s="466"/>
      <c r="K148" s="466"/>
      <c r="L148" s="466"/>
    </row>
    <row r="149" spans="1:12" s="247" customFormat="1" ht="110.25">
      <c r="A149" s="541"/>
      <c r="B149" s="36"/>
      <c r="C149" s="317" t="s">
        <v>99</v>
      </c>
      <c r="D149" s="211"/>
      <c r="E149" s="316"/>
      <c r="F149" s="222">
        <v>3130</v>
      </c>
      <c r="G149" s="222">
        <v>3756</v>
      </c>
      <c r="H149" s="234" t="s">
        <v>222</v>
      </c>
      <c r="I149" s="466"/>
      <c r="J149" s="466"/>
      <c r="K149" s="466"/>
      <c r="L149" s="466"/>
    </row>
    <row r="150" spans="1:12" s="247" customFormat="1" ht="31.5">
      <c r="A150" s="541"/>
      <c r="B150" s="36"/>
      <c r="C150" s="317" t="s">
        <v>95</v>
      </c>
      <c r="D150" s="210" t="s">
        <v>96</v>
      </c>
      <c r="E150" s="311" t="s">
        <v>298</v>
      </c>
      <c r="F150" s="222">
        <v>66</v>
      </c>
      <c r="G150" s="222">
        <v>79.2</v>
      </c>
      <c r="H150" s="234" t="s">
        <v>297</v>
      </c>
      <c r="I150" s="466"/>
      <c r="J150" s="466"/>
      <c r="K150" s="466"/>
      <c r="L150" s="466"/>
    </row>
    <row r="151" spans="1:12" s="247" customFormat="1" ht="141.75">
      <c r="A151" s="541"/>
      <c r="B151" s="36"/>
      <c r="C151" s="317" t="s">
        <v>95</v>
      </c>
      <c r="D151" s="221"/>
      <c r="E151" s="319"/>
      <c r="F151" s="222">
        <v>285</v>
      </c>
      <c r="G151" s="222">
        <v>342</v>
      </c>
      <c r="H151" s="234" t="s">
        <v>758</v>
      </c>
      <c r="I151" s="466"/>
      <c r="J151" s="466"/>
      <c r="K151" s="466"/>
      <c r="L151" s="466"/>
    </row>
    <row r="152" spans="1:12" s="247" customFormat="1" ht="15.75">
      <c r="A152" s="541"/>
      <c r="B152" s="36"/>
      <c r="C152" s="317" t="s">
        <v>296</v>
      </c>
      <c r="D152" s="221"/>
      <c r="E152" s="319"/>
      <c r="F152" s="222">
        <v>2372</v>
      </c>
      <c r="G152" s="222">
        <v>2846.4</v>
      </c>
      <c r="H152" s="234"/>
      <c r="I152" s="466"/>
      <c r="J152" s="466"/>
      <c r="K152" s="466"/>
      <c r="L152" s="466"/>
    </row>
    <row r="153" spans="1:12" s="247" customFormat="1" ht="110.25">
      <c r="A153" s="541"/>
      <c r="B153" s="36"/>
      <c r="C153" s="317" t="s">
        <v>99</v>
      </c>
      <c r="D153" s="211"/>
      <c r="E153" s="312"/>
      <c r="F153" s="222">
        <v>3218</v>
      </c>
      <c r="G153" s="222">
        <v>3861.6</v>
      </c>
      <c r="H153" s="234" t="s">
        <v>222</v>
      </c>
      <c r="I153" s="466"/>
      <c r="J153" s="466"/>
      <c r="K153" s="466"/>
      <c r="L153" s="466"/>
    </row>
    <row r="154" spans="1:12" s="247" customFormat="1" ht="110.25">
      <c r="A154" s="541"/>
      <c r="B154" s="36"/>
      <c r="C154" s="317" t="s">
        <v>99</v>
      </c>
      <c r="D154" s="209" t="s">
        <v>96</v>
      </c>
      <c r="E154" s="194" t="s">
        <v>100</v>
      </c>
      <c r="F154" s="222">
        <v>891</v>
      </c>
      <c r="G154" s="222">
        <v>1069.2</v>
      </c>
      <c r="H154" s="234" t="s">
        <v>299</v>
      </c>
      <c r="I154" s="466"/>
      <c r="J154" s="466"/>
      <c r="K154" s="466"/>
      <c r="L154" s="466"/>
    </row>
    <row r="155" spans="1:12" s="247" customFormat="1" ht="189">
      <c r="A155" s="322"/>
      <c r="B155" s="41"/>
      <c r="C155" s="317" t="s">
        <v>94</v>
      </c>
      <c r="D155" s="209" t="s">
        <v>300</v>
      </c>
      <c r="E155" s="194"/>
      <c r="F155" s="222">
        <v>136</v>
      </c>
      <c r="G155" s="222">
        <v>163.2</v>
      </c>
      <c r="H155" s="234" t="s">
        <v>301</v>
      </c>
      <c r="I155" s="466"/>
      <c r="J155" s="466"/>
      <c r="K155" s="466"/>
      <c r="L155" s="466"/>
    </row>
    <row r="156" spans="1:12" s="247" customFormat="1" ht="47.25">
      <c r="A156" s="320">
        <v>12</v>
      </c>
      <c r="B156" s="30" t="s">
        <v>223</v>
      </c>
      <c r="C156" s="321" t="s">
        <v>224</v>
      </c>
      <c r="D156" s="317" t="s">
        <v>302</v>
      </c>
      <c r="E156" s="317" t="s">
        <v>303</v>
      </c>
      <c r="F156" s="222">
        <v>1700</v>
      </c>
      <c r="G156" s="222">
        <v>2040</v>
      </c>
      <c r="H156" s="234" t="s">
        <v>304</v>
      </c>
      <c r="I156" s="466"/>
      <c r="J156" s="466"/>
      <c r="K156" s="466"/>
      <c r="L156" s="466"/>
    </row>
    <row r="157" spans="1:12" s="247" customFormat="1" ht="47.25">
      <c r="A157" s="322"/>
      <c r="B157" s="36"/>
      <c r="C157" s="323"/>
      <c r="D157" s="195" t="s">
        <v>305</v>
      </c>
      <c r="E157" s="194"/>
      <c r="F157" s="222">
        <v>560</v>
      </c>
      <c r="G157" s="222">
        <v>672</v>
      </c>
      <c r="H157" s="234" t="s">
        <v>306</v>
      </c>
      <c r="I157" s="466"/>
      <c r="J157" s="466"/>
      <c r="K157" s="466"/>
      <c r="L157" s="466"/>
    </row>
    <row r="158" spans="1:12" s="247" customFormat="1" ht="31.5">
      <c r="A158" s="199">
        <v>13</v>
      </c>
      <c r="B158" s="30" t="s">
        <v>307</v>
      </c>
      <c r="C158" s="317" t="s">
        <v>308</v>
      </c>
      <c r="D158" s="317" t="s">
        <v>109</v>
      </c>
      <c r="E158" s="324"/>
      <c r="F158" s="222">
        <v>415</v>
      </c>
      <c r="G158" s="222">
        <v>498</v>
      </c>
      <c r="H158" s="234" t="s">
        <v>228</v>
      </c>
      <c r="I158" s="466"/>
      <c r="J158" s="466"/>
      <c r="K158" s="466"/>
      <c r="L158" s="466"/>
    </row>
    <row r="159" spans="1:12" s="247" customFormat="1" ht="31.5">
      <c r="A159" s="200"/>
      <c r="B159" s="41"/>
      <c r="C159" s="317" t="s">
        <v>308</v>
      </c>
      <c r="D159" s="317" t="s">
        <v>109</v>
      </c>
      <c r="E159" s="324"/>
      <c r="F159" s="222">
        <v>315</v>
      </c>
      <c r="G159" s="222">
        <v>378</v>
      </c>
      <c r="H159" s="325" t="s">
        <v>111</v>
      </c>
      <c r="I159" s="466"/>
      <c r="J159" s="466"/>
      <c r="K159" s="466"/>
      <c r="L159" s="466"/>
    </row>
    <row r="160" spans="1:12" s="247" customFormat="1" ht="47.25">
      <c r="A160" s="329">
        <v>14</v>
      </c>
      <c r="B160" s="30" t="s">
        <v>309</v>
      </c>
      <c r="C160" s="317" t="s">
        <v>113</v>
      </c>
      <c r="D160" s="317" t="s">
        <v>109</v>
      </c>
      <c r="E160" s="194"/>
      <c r="F160" s="222">
        <v>2404</v>
      </c>
      <c r="G160" s="222">
        <v>2884.7999999999997</v>
      </c>
      <c r="H160" s="234" t="s">
        <v>310</v>
      </c>
      <c r="I160" s="466"/>
      <c r="J160" s="466"/>
      <c r="K160" s="466"/>
      <c r="L160" s="466"/>
    </row>
    <row r="161" spans="1:12" s="247" customFormat="1" ht="15.75">
      <c r="A161" s="329"/>
      <c r="B161" s="36"/>
      <c r="C161" s="326" t="s">
        <v>113</v>
      </c>
      <c r="D161" s="209" t="s">
        <v>20</v>
      </c>
      <c r="E161" s="194" t="s">
        <v>76</v>
      </c>
      <c r="F161" s="222">
        <v>955</v>
      </c>
      <c r="G161" s="222">
        <v>1146</v>
      </c>
      <c r="H161" s="592" t="s">
        <v>311</v>
      </c>
      <c r="I161" s="466"/>
      <c r="J161" s="466"/>
      <c r="K161" s="466"/>
      <c r="L161" s="466"/>
    </row>
    <row r="162" spans="1:12" s="247" customFormat="1" ht="15.75">
      <c r="A162" s="329"/>
      <c r="B162" s="41"/>
      <c r="C162" s="326"/>
      <c r="D162" s="209" t="s">
        <v>20</v>
      </c>
      <c r="E162" s="194" t="s">
        <v>285</v>
      </c>
      <c r="F162" s="222">
        <v>955</v>
      </c>
      <c r="G162" s="222">
        <v>1146</v>
      </c>
      <c r="H162" s="592"/>
      <c r="I162" s="466"/>
      <c r="J162" s="466"/>
      <c r="K162" s="466"/>
      <c r="L162" s="466"/>
    </row>
    <row r="163" spans="1:12" s="247" customFormat="1" ht="31.5">
      <c r="A163" s="338">
        <v>15</v>
      </c>
      <c r="B163" s="328" t="s">
        <v>312</v>
      </c>
      <c r="C163" s="174" t="s">
        <v>313</v>
      </c>
      <c r="D163" s="317" t="s">
        <v>314</v>
      </c>
      <c r="E163" s="194" t="s">
        <v>315</v>
      </c>
      <c r="F163" s="222">
        <v>80</v>
      </c>
      <c r="G163" s="222">
        <v>96</v>
      </c>
      <c r="H163" s="234" t="s">
        <v>760</v>
      </c>
      <c r="I163" s="466"/>
      <c r="J163" s="466"/>
      <c r="K163" s="466"/>
      <c r="L163" s="466"/>
    </row>
    <row r="164" spans="1:12" s="247" customFormat="1" ht="15.75">
      <c r="A164" s="329">
        <v>16</v>
      </c>
      <c r="B164" s="306" t="s">
        <v>116</v>
      </c>
      <c r="C164" s="326" t="s">
        <v>229</v>
      </c>
      <c r="D164" s="326" t="s">
        <v>118</v>
      </c>
      <c r="E164" s="316"/>
      <c r="F164" s="597">
        <v>81</v>
      </c>
      <c r="G164" s="597">
        <v>97.2</v>
      </c>
      <c r="H164" s="592"/>
      <c r="I164" s="466"/>
      <c r="J164" s="466"/>
      <c r="K164" s="466"/>
      <c r="L164" s="466"/>
    </row>
    <row r="165" spans="1:12" s="247" customFormat="1" ht="15.75">
      <c r="A165" s="329"/>
      <c r="B165" s="306"/>
      <c r="C165" s="326"/>
      <c r="D165" s="326"/>
      <c r="E165" s="316"/>
      <c r="F165" s="598"/>
      <c r="G165" s="598"/>
      <c r="H165" s="592"/>
      <c r="I165" s="466"/>
      <c r="J165" s="466"/>
      <c r="K165" s="466"/>
      <c r="L165" s="466"/>
    </row>
    <row r="166" spans="1:12" s="247" customFormat="1" ht="15.75">
      <c r="A166" s="329">
        <v>17</v>
      </c>
      <c r="B166" s="306" t="s">
        <v>231</v>
      </c>
      <c r="C166" s="509" t="s">
        <v>120</v>
      </c>
      <c r="D166" s="509"/>
      <c r="E166" s="509"/>
      <c r="F166" s="509"/>
      <c r="G166" s="509"/>
      <c r="H166" s="234"/>
      <c r="I166" s="466"/>
      <c r="J166" s="466"/>
      <c r="K166" s="466"/>
      <c r="L166" s="466"/>
    </row>
    <row r="167" spans="1:12" s="247" customFormat="1" ht="15.75">
      <c r="A167" s="329"/>
      <c r="B167" s="306"/>
      <c r="C167" s="174" t="s">
        <v>121</v>
      </c>
      <c r="D167" s="317" t="s">
        <v>20</v>
      </c>
      <c r="E167" s="194"/>
      <c r="F167" s="194">
        <v>529</v>
      </c>
      <c r="G167" s="194">
        <v>634.8</v>
      </c>
      <c r="H167" s="234"/>
      <c r="I167" s="466"/>
      <c r="J167" s="466"/>
      <c r="K167" s="466"/>
      <c r="L167" s="466"/>
    </row>
    <row r="168" spans="1:12" s="247" customFormat="1" ht="31.5">
      <c r="A168" s="196">
        <v>18</v>
      </c>
      <c r="B168" s="30" t="s">
        <v>316</v>
      </c>
      <c r="C168" s="175" t="s">
        <v>235</v>
      </c>
      <c r="D168" s="326" t="s">
        <v>118</v>
      </c>
      <c r="E168" s="316"/>
      <c r="F168" s="194">
        <v>229</v>
      </c>
      <c r="G168" s="194">
        <v>274.8</v>
      </c>
      <c r="H168" s="234" t="s">
        <v>236</v>
      </c>
      <c r="I168" s="466"/>
      <c r="J168" s="466"/>
      <c r="K168" s="466"/>
      <c r="L168" s="466"/>
    </row>
    <row r="169" spans="1:12" s="247" customFormat="1" ht="15.75">
      <c r="A169" s="199"/>
      <c r="B169" s="36"/>
      <c r="C169" s="175"/>
      <c r="D169" s="326"/>
      <c r="E169" s="316"/>
      <c r="F169" s="316"/>
      <c r="G169" s="316"/>
      <c r="H169" s="234" t="s">
        <v>237</v>
      </c>
      <c r="I169" s="466"/>
      <c r="J169" s="466"/>
      <c r="K169" s="466"/>
      <c r="L169" s="466"/>
    </row>
    <row r="170" spans="1:12" s="247" customFormat="1" ht="15.75">
      <c r="A170" s="199"/>
      <c r="B170" s="36"/>
      <c r="C170" s="175" t="s">
        <v>235</v>
      </c>
      <c r="D170" s="321" t="s">
        <v>20</v>
      </c>
      <c r="E170" s="331" t="s">
        <v>21</v>
      </c>
      <c r="F170" s="194">
        <v>2028</v>
      </c>
      <c r="G170" s="194">
        <v>2433.6</v>
      </c>
      <c r="H170" s="519" t="s">
        <v>317</v>
      </c>
      <c r="I170" s="466"/>
      <c r="J170" s="466"/>
      <c r="K170" s="466"/>
      <c r="L170" s="466"/>
    </row>
    <row r="171" spans="1:12" s="247" customFormat="1" ht="15.75">
      <c r="A171" s="199"/>
      <c r="B171" s="36"/>
      <c r="C171" s="175"/>
      <c r="D171" s="323"/>
      <c r="E171" s="331" t="s">
        <v>253</v>
      </c>
      <c r="F171" s="194">
        <v>2758</v>
      </c>
      <c r="G171" s="194">
        <v>3309.6</v>
      </c>
      <c r="H171" s="554"/>
      <c r="I171" s="466"/>
      <c r="J171" s="466"/>
      <c r="K171" s="466"/>
      <c r="L171" s="466"/>
    </row>
    <row r="172" spans="1:12" s="247" customFormat="1" ht="63">
      <c r="A172" s="199"/>
      <c r="B172" s="36"/>
      <c r="C172" s="332" t="s">
        <v>235</v>
      </c>
      <c r="D172" s="174" t="s">
        <v>118</v>
      </c>
      <c r="E172" s="174"/>
      <c r="F172" s="593"/>
      <c r="G172" s="556"/>
      <c r="H172" s="605" t="s">
        <v>128</v>
      </c>
      <c r="I172" s="466"/>
      <c r="J172" s="466"/>
      <c r="K172" s="466"/>
      <c r="L172" s="466"/>
    </row>
    <row r="173" spans="1:12" s="247" customFormat="1" ht="15.75">
      <c r="A173" s="199"/>
      <c r="B173" s="36"/>
      <c r="C173" s="333" t="s">
        <v>235</v>
      </c>
      <c r="D173" s="321" t="s">
        <v>20</v>
      </c>
      <c r="E173" s="331" t="s">
        <v>100</v>
      </c>
      <c r="F173" s="194">
        <v>960</v>
      </c>
      <c r="G173" s="194">
        <v>1152</v>
      </c>
      <c r="H173" s="519" t="s">
        <v>124</v>
      </c>
      <c r="I173" s="466"/>
      <c r="J173" s="466"/>
      <c r="K173" s="466"/>
      <c r="L173" s="466"/>
    </row>
    <row r="174" spans="1:12" s="247" customFormat="1" ht="15.75">
      <c r="A174" s="199"/>
      <c r="B174" s="36"/>
      <c r="C174" s="334"/>
      <c r="D174" s="335"/>
      <c r="E174" s="331" t="s">
        <v>21</v>
      </c>
      <c r="F174" s="194">
        <v>1591</v>
      </c>
      <c r="G174" s="194">
        <v>1909.1999999999998</v>
      </c>
      <c r="H174" s="521"/>
      <c r="I174" s="466"/>
      <c r="J174" s="466"/>
      <c r="K174" s="466"/>
      <c r="L174" s="466"/>
    </row>
    <row r="175" spans="1:12" s="247" customFormat="1" ht="15.75">
      <c r="A175" s="199"/>
      <c r="B175" s="36"/>
      <c r="C175" s="334"/>
      <c r="D175" s="335"/>
      <c r="E175" s="331" t="s">
        <v>24</v>
      </c>
      <c r="F175" s="194">
        <v>3185</v>
      </c>
      <c r="G175" s="194">
        <v>3822</v>
      </c>
      <c r="H175" s="521"/>
      <c r="I175" s="466"/>
      <c r="J175" s="466"/>
      <c r="K175" s="466"/>
      <c r="L175" s="466"/>
    </row>
    <row r="176" spans="1:12" s="247" customFormat="1" ht="15.75">
      <c r="A176" s="200"/>
      <c r="B176" s="41"/>
      <c r="C176" s="336"/>
      <c r="D176" s="323"/>
      <c r="E176" s="194" t="s">
        <v>298</v>
      </c>
      <c r="F176" s="194">
        <v>3274</v>
      </c>
      <c r="G176" s="194">
        <v>3928.7999999999997</v>
      </c>
      <c r="H176" s="554"/>
      <c r="I176" s="466"/>
      <c r="J176" s="466"/>
      <c r="K176" s="466"/>
      <c r="L176" s="466"/>
    </row>
    <row r="177" spans="1:12" s="247" customFormat="1" ht="15.75">
      <c r="A177" s="196">
        <v>19</v>
      </c>
      <c r="B177" s="30" t="s">
        <v>318</v>
      </c>
      <c r="C177" s="169" t="s">
        <v>319</v>
      </c>
      <c r="D177" s="170"/>
      <c r="E177" s="170"/>
      <c r="F177" s="170"/>
      <c r="G177" s="168"/>
      <c r="H177" s="234"/>
      <c r="I177" s="466"/>
      <c r="J177" s="466"/>
      <c r="K177" s="466"/>
      <c r="L177" s="466"/>
    </row>
    <row r="178" spans="1:12" s="247" customFormat="1" ht="15.75">
      <c r="A178" s="199"/>
      <c r="B178" s="36"/>
      <c r="C178" s="174" t="s">
        <v>320</v>
      </c>
      <c r="D178" s="326" t="s">
        <v>20</v>
      </c>
      <c r="E178" s="174" t="s">
        <v>321</v>
      </c>
      <c r="F178" s="175"/>
      <c r="G178" s="175"/>
      <c r="H178" s="234"/>
      <c r="I178" s="466"/>
      <c r="J178" s="466"/>
      <c r="K178" s="466"/>
      <c r="L178" s="466"/>
    </row>
    <row r="179" spans="1:12" s="247" customFormat="1" ht="126">
      <c r="A179" s="199"/>
      <c r="B179" s="36"/>
      <c r="C179" s="209" t="s">
        <v>322</v>
      </c>
      <c r="D179" s="326"/>
      <c r="E179" s="194" t="s">
        <v>323</v>
      </c>
      <c r="F179" s="216">
        <v>7046</v>
      </c>
      <c r="G179" s="216">
        <v>8455.199999999999</v>
      </c>
      <c r="H179" s="234" t="s">
        <v>324</v>
      </c>
      <c r="I179" s="466"/>
      <c r="J179" s="466"/>
      <c r="K179" s="466"/>
      <c r="L179" s="466"/>
    </row>
    <row r="180" spans="1:12" s="247" customFormat="1" ht="15.75">
      <c r="A180" s="199"/>
      <c r="B180" s="36"/>
      <c r="C180" s="209" t="s">
        <v>325</v>
      </c>
      <c r="D180" s="326"/>
      <c r="E180" s="194" t="s">
        <v>321</v>
      </c>
      <c r="F180" s="316"/>
      <c r="G180" s="316"/>
      <c r="H180" s="234"/>
      <c r="I180" s="466"/>
      <c r="J180" s="466"/>
      <c r="K180" s="466"/>
      <c r="L180" s="466"/>
    </row>
    <row r="181" spans="1:12" s="247" customFormat="1" ht="47.25">
      <c r="A181" s="200"/>
      <c r="B181" s="41"/>
      <c r="C181" s="209" t="s">
        <v>325</v>
      </c>
      <c r="D181" s="326"/>
      <c r="E181" s="194" t="s">
        <v>323</v>
      </c>
      <c r="F181" s="216">
        <v>3439</v>
      </c>
      <c r="G181" s="216">
        <v>4126.8</v>
      </c>
      <c r="H181" s="234" t="s">
        <v>326</v>
      </c>
      <c r="I181" s="466"/>
      <c r="J181" s="466"/>
      <c r="K181" s="466"/>
      <c r="L181" s="466"/>
    </row>
    <row r="182" spans="1:12" s="247" customFormat="1" ht="15.75">
      <c r="A182" s="305" t="s">
        <v>129</v>
      </c>
      <c r="B182" s="306"/>
      <c r="C182" s="169" t="s">
        <v>130</v>
      </c>
      <c r="D182" s="170"/>
      <c r="E182" s="170"/>
      <c r="F182" s="170"/>
      <c r="G182" s="170"/>
      <c r="H182" s="171"/>
      <c r="I182" s="466"/>
      <c r="J182" s="466"/>
      <c r="K182" s="466"/>
      <c r="L182" s="466"/>
    </row>
    <row r="183" spans="1:12" s="247" customFormat="1" ht="15.75">
      <c r="A183" s="337" t="s">
        <v>327</v>
      </c>
      <c r="B183" s="328" t="s">
        <v>136</v>
      </c>
      <c r="C183" s="174" t="s">
        <v>137</v>
      </c>
      <c r="D183" s="174" t="s">
        <v>25</v>
      </c>
      <c r="E183" s="194"/>
      <c r="F183" s="198"/>
      <c r="G183" s="198"/>
      <c r="H183" s="234"/>
      <c r="I183" s="466"/>
      <c r="J183" s="466"/>
      <c r="K183" s="466"/>
      <c r="L183" s="466"/>
    </row>
    <row r="184" spans="1:12" s="247" customFormat="1" ht="31.5">
      <c r="A184" s="337" t="s">
        <v>328</v>
      </c>
      <c r="B184" s="328" t="s">
        <v>329</v>
      </c>
      <c r="C184" s="174" t="s">
        <v>330</v>
      </c>
      <c r="D184" s="174" t="s">
        <v>20</v>
      </c>
      <c r="E184" s="195" t="s">
        <v>105</v>
      </c>
      <c r="F184" s="198"/>
      <c r="G184" s="198"/>
      <c r="H184" s="234" t="s">
        <v>331</v>
      </c>
      <c r="I184" s="466"/>
      <c r="J184" s="466"/>
      <c r="K184" s="466"/>
      <c r="L184" s="466"/>
    </row>
    <row r="185" spans="1:12" s="247" customFormat="1" ht="15.75">
      <c r="A185" s="329">
        <v>22</v>
      </c>
      <c r="B185" s="306" t="s">
        <v>142</v>
      </c>
      <c r="C185" s="175" t="s">
        <v>143</v>
      </c>
      <c r="D185" s="326" t="s">
        <v>20</v>
      </c>
      <c r="E185" s="194" t="s">
        <v>21</v>
      </c>
      <c r="F185" s="198"/>
      <c r="G185" s="198"/>
      <c r="H185" s="234"/>
      <c r="I185" s="466"/>
      <c r="J185" s="466"/>
      <c r="K185" s="466"/>
      <c r="L185" s="466"/>
    </row>
    <row r="186" spans="1:12" s="247" customFormat="1" ht="15.75">
      <c r="A186" s="329"/>
      <c r="B186" s="306"/>
      <c r="C186" s="175"/>
      <c r="D186" s="326"/>
      <c r="E186" s="195" t="s">
        <v>253</v>
      </c>
      <c r="F186" s="198"/>
      <c r="G186" s="198"/>
      <c r="H186" s="234"/>
      <c r="I186" s="466"/>
      <c r="J186" s="466"/>
      <c r="K186" s="466"/>
      <c r="L186" s="466"/>
    </row>
    <row r="187" spans="1:12" s="247" customFormat="1" ht="47.25">
      <c r="A187" s="338">
        <v>23</v>
      </c>
      <c r="B187" s="328" t="s">
        <v>144</v>
      </c>
      <c r="C187" s="174" t="s">
        <v>145</v>
      </c>
      <c r="D187" s="317" t="s">
        <v>25</v>
      </c>
      <c r="E187" s="195"/>
      <c r="F187" s="198"/>
      <c r="G187" s="198"/>
      <c r="H187" s="557"/>
      <c r="I187" s="466"/>
      <c r="J187" s="466"/>
      <c r="K187" s="466"/>
      <c r="L187" s="466"/>
    </row>
    <row r="188" spans="1:12" s="247" customFormat="1" ht="15.75">
      <c r="A188" s="196">
        <v>24</v>
      </c>
      <c r="B188" s="306" t="s">
        <v>238</v>
      </c>
      <c r="C188" s="169" t="s">
        <v>332</v>
      </c>
      <c r="D188" s="170"/>
      <c r="E188" s="170"/>
      <c r="F188" s="170"/>
      <c r="G188" s="168"/>
      <c r="H188" s="592"/>
      <c r="I188" s="466"/>
      <c r="J188" s="466"/>
      <c r="K188" s="466"/>
      <c r="L188" s="466"/>
    </row>
    <row r="189" spans="1:12" s="247" customFormat="1" ht="31.5">
      <c r="A189" s="200"/>
      <c r="B189" s="306"/>
      <c r="C189" s="174" t="s">
        <v>147</v>
      </c>
      <c r="D189" s="317" t="s">
        <v>118</v>
      </c>
      <c r="E189" s="195"/>
      <c r="F189" s="214">
        <v>4061</v>
      </c>
      <c r="G189" s="214">
        <v>4873.2</v>
      </c>
      <c r="H189" s="592"/>
      <c r="I189" s="466"/>
      <c r="J189" s="466"/>
      <c r="K189" s="466"/>
      <c r="L189" s="466"/>
    </row>
    <row r="190" spans="1:12" s="247" customFormat="1" ht="47.25">
      <c r="A190" s="339">
        <v>25</v>
      </c>
      <c r="B190" s="340" t="s">
        <v>149</v>
      </c>
      <c r="C190" s="174" t="s">
        <v>242</v>
      </c>
      <c r="D190" s="341" t="s">
        <v>20</v>
      </c>
      <c r="E190" s="174" t="s">
        <v>333</v>
      </c>
      <c r="F190" s="238">
        <v>212</v>
      </c>
      <c r="G190" s="222">
        <v>254.39999999999998</v>
      </c>
      <c r="H190" s="237" t="s">
        <v>244</v>
      </c>
      <c r="I190" s="466"/>
      <c r="J190" s="466"/>
      <c r="K190" s="466"/>
      <c r="L190" s="466"/>
    </row>
    <row r="191" spans="1:12" s="247" customFormat="1" ht="47.25">
      <c r="A191" s="338">
        <v>26</v>
      </c>
      <c r="B191" s="328" t="s">
        <v>154</v>
      </c>
      <c r="C191" s="342" t="s">
        <v>334</v>
      </c>
      <c r="D191" s="317" t="s">
        <v>118</v>
      </c>
      <c r="E191" s="195"/>
      <c r="F191" s="238">
        <v>2181.91</v>
      </c>
      <c r="G191" s="222">
        <v>2618.292</v>
      </c>
      <c r="H191" s="234"/>
      <c r="I191" s="466"/>
      <c r="J191" s="466"/>
      <c r="K191" s="466"/>
      <c r="L191" s="466"/>
    </row>
    <row r="192" spans="1:12" s="247" customFormat="1" ht="15.75">
      <c r="A192" s="343" t="s">
        <v>157</v>
      </c>
      <c r="B192" s="344"/>
      <c r="C192" s="345" t="s">
        <v>158</v>
      </c>
      <c r="D192" s="346"/>
      <c r="E192" s="346"/>
      <c r="F192" s="346"/>
      <c r="G192" s="346"/>
      <c r="H192" s="347"/>
      <c r="I192" s="466"/>
      <c r="J192" s="466"/>
      <c r="K192" s="466"/>
      <c r="L192" s="466"/>
    </row>
    <row r="193" spans="1:12" s="247" customFormat="1" ht="15.75">
      <c r="A193" s="329">
        <v>27</v>
      </c>
      <c r="B193" s="306" t="s">
        <v>159</v>
      </c>
      <c r="C193" s="315" t="s">
        <v>160</v>
      </c>
      <c r="D193" s="197" t="s">
        <v>161</v>
      </c>
      <c r="E193" s="194" t="s">
        <v>21</v>
      </c>
      <c r="F193" s="195">
        <v>1098</v>
      </c>
      <c r="G193" s="214">
        <v>1317.6</v>
      </c>
      <c r="H193" s="591" t="s">
        <v>335</v>
      </c>
      <c r="I193" s="466"/>
      <c r="J193" s="466"/>
      <c r="K193" s="466"/>
      <c r="L193" s="466"/>
    </row>
    <row r="194" spans="1:12" s="247" customFormat="1" ht="15.75">
      <c r="A194" s="329"/>
      <c r="B194" s="306"/>
      <c r="C194" s="315"/>
      <c r="D194" s="197"/>
      <c r="E194" s="194" t="s">
        <v>24</v>
      </c>
      <c r="F194" s="195">
        <v>1098</v>
      </c>
      <c r="G194" s="214">
        <v>1317.6</v>
      </c>
      <c r="H194" s="591"/>
      <c r="I194" s="466"/>
      <c r="J194" s="466"/>
      <c r="K194" s="466"/>
      <c r="L194" s="466"/>
    </row>
    <row r="195" spans="1:12" s="247" customFormat="1" ht="79.5" thickBot="1">
      <c r="A195" s="348">
        <v>28</v>
      </c>
      <c r="B195" s="349" t="s">
        <v>163</v>
      </c>
      <c r="C195" s="242" t="s">
        <v>164</v>
      </c>
      <c r="D195" s="350" t="s">
        <v>161</v>
      </c>
      <c r="E195" s="351"/>
      <c r="F195" s="280">
        <v>360</v>
      </c>
      <c r="G195" s="281">
        <v>432</v>
      </c>
      <c r="H195" s="352" t="s">
        <v>336</v>
      </c>
      <c r="I195" s="466"/>
      <c r="J195" s="466"/>
      <c r="K195" s="466"/>
      <c r="L195" s="466"/>
    </row>
    <row r="196" spans="1:8" ht="15.75">
      <c r="A196" s="353"/>
      <c r="B196" s="353"/>
      <c r="C196" s="353"/>
      <c r="D196" s="354"/>
      <c r="E196" s="355"/>
      <c r="F196" s="353"/>
      <c r="G196" s="356"/>
      <c r="H196" s="357"/>
    </row>
    <row r="197" spans="1:8" ht="15.75">
      <c r="A197" s="558" t="s">
        <v>248</v>
      </c>
      <c r="B197" s="558"/>
      <c r="C197" s="558"/>
      <c r="D197" s="250"/>
      <c r="E197" s="250"/>
      <c r="F197" s="353"/>
      <c r="G197" s="356"/>
      <c r="H197" s="357"/>
    </row>
    <row r="198" spans="1:8" ht="15.75">
      <c r="A198" s="558"/>
      <c r="B198" s="558"/>
      <c r="C198" s="558"/>
      <c r="D198" s="247"/>
      <c r="E198" s="250"/>
      <c r="F198" s="466"/>
      <c r="G198" s="596"/>
      <c r="H198" s="447"/>
    </row>
    <row r="199" spans="1:8" ht="15.75">
      <c r="A199" s="558" t="s">
        <v>167</v>
      </c>
      <c r="B199" s="558"/>
      <c r="C199" s="558"/>
      <c r="D199" s="247"/>
      <c r="E199" s="561" t="s">
        <v>168</v>
      </c>
      <c r="G199" s="596"/>
      <c r="H199" s="447"/>
    </row>
    <row r="200" spans="1:8" ht="15.75">
      <c r="A200" s="558"/>
      <c r="B200" s="558"/>
      <c r="C200" s="558"/>
      <c r="D200" s="247"/>
      <c r="E200" s="250"/>
      <c r="G200" s="596"/>
      <c r="H200" s="447"/>
    </row>
    <row r="201" spans="1:8" ht="15.75">
      <c r="A201" s="558" t="s">
        <v>169</v>
      </c>
      <c r="B201" s="558"/>
      <c r="C201" s="558"/>
      <c r="D201" s="247"/>
      <c r="E201" s="561" t="s">
        <v>170</v>
      </c>
      <c r="G201" s="596"/>
      <c r="H201" s="447"/>
    </row>
    <row r="202" spans="1:8" ht="15.75">
      <c r="A202" s="558"/>
      <c r="B202" s="558"/>
      <c r="C202" s="558"/>
      <c r="D202" s="247"/>
      <c r="E202" s="250"/>
      <c r="G202" s="446"/>
      <c r="H202" s="447"/>
    </row>
    <row r="203" spans="1:8" ht="15.75">
      <c r="A203" s="558" t="s">
        <v>171</v>
      </c>
      <c r="B203" s="558"/>
      <c r="C203" s="558"/>
      <c r="D203" s="247"/>
      <c r="E203" s="561" t="s">
        <v>172</v>
      </c>
      <c r="G203" s="596"/>
      <c r="H203" s="580"/>
    </row>
    <row r="204" spans="1:8" ht="15.75">
      <c r="A204" s="558"/>
      <c r="B204" s="558"/>
      <c r="C204" s="558"/>
      <c r="D204" s="247"/>
      <c r="E204" s="561"/>
      <c r="G204" s="596"/>
      <c r="H204" s="580"/>
    </row>
    <row r="205" spans="1:8" ht="15.75">
      <c r="A205" s="558" t="s">
        <v>173</v>
      </c>
      <c r="B205" s="558"/>
      <c r="C205" s="558"/>
      <c r="D205" s="247"/>
      <c r="E205" s="561" t="s">
        <v>174</v>
      </c>
      <c r="G205" s="596"/>
      <c r="H205" s="580"/>
    </row>
    <row r="206" spans="1:8" ht="15.75">
      <c r="A206" s="558"/>
      <c r="B206" s="558"/>
      <c r="C206" s="558"/>
      <c r="D206" s="247"/>
      <c r="E206" s="561"/>
      <c r="G206" s="596"/>
      <c r="H206" s="580"/>
    </row>
    <row r="207" spans="1:8" ht="15.75">
      <c r="A207" s="558" t="s">
        <v>337</v>
      </c>
      <c r="B207" s="558"/>
      <c r="C207" s="558"/>
      <c r="D207" s="247"/>
      <c r="E207" s="561" t="s">
        <v>338</v>
      </c>
      <c r="G207" s="359"/>
      <c r="H207" s="360"/>
    </row>
    <row r="208" spans="1:8" ht="15.75">
      <c r="A208" s="558"/>
      <c r="B208" s="558"/>
      <c r="C208" s="558"/>
      <c r="D208" s="353"/>
      <c r="E208" s="353"/>
      <c r="G208" s="356"/>
      <c r="H208" s="357"/>
    </row>
    <row r="209" spans="1:8" ht="15.75">
      <c r="A209" s="558" t="s">
        <v>339</v>
      </c>
      <c r="B209" s="558"/>
      <c r="C209" s="558"/>
      <c r="D209" s="431"/>
      <c r="E209" s="580" t="s">
        <v>340</v>
      </c>
      <c r="G209" s="596"/>
      <c r="H209" s="580"/>
    </row>
    <row r="210" spans="4:5" ht="15.75">
      <c r="D210" s="5"/>
      <c r="E210" s="5"/>
    </row>
  </sheetData>
  <sheetProtection/>
  <mergeCells count="206">
    <mergeCell ref="B131:B140"/>
    <mergeCell ref="A193:A194"/>
    <mergeCell ref="B193:B194"/>
    <mergeCell ref="C193:C194"/>
    <mergeCell ref="D193:D194"/>
    <mergeCell ref="H193:H194"/>
    <mergeCell ref="A141:A155"/>
    <mergeCell ref="F187:G187"/>
    <mergeCell ref="A188:A189"/>
    <mergeCell ref="B188:B189"/>
    <mergeCell ref="C188:G188"/>
    <mergeCell ref="H188:H189"/>
    <mergeCell ref="A192:B192"/>
    <mergeCell ref="C192:H192"/>
    <mergeCell ref="F180:G180"/>
    <mergeCell ref="A182:B182"/>
    <mergeCell ref="C182:H182"/>
    <mergeCell ref="F183:G183"/>
    <mergeCell ref="F184:G184"/>
    <mergeCell ref="A185:A186"/>
    <mergeCell ref="B185:B186"/>
    <mergeCell ref="C185:C186"/>
    <mergeCell ref="D185:D186"/>
    <mergeCell ref="F185:G186"/>
    <mergeCell ref="H170:H171"/>
    <mergeCell ref="F172:G172"/>
    <mergeCell ref="C173:C176"/>
    <mergeCell ref="D173:D176"/>
    <mergeCell ref="H173:H176"/>
    <mergeCell ref="A177:A181"/>
    <mergeCell ref="B177:B181"/>
    <mergeCell ref="C177:G177"/>
    <mergeCell ref="D178:D181"/>
    <mergeCell ref="F178:G178"/>
    <mergeCell ref="A168:A176"/>
    <mergeCell ref="B168:B176"/>
    <mergeCell ref="C168:C169"/>
    <mergeCell ref="D168:D169"/>
    <mergeCell ref="E168:E169"/>
    <mergeCell ref="F169:G169"/>
    <mergeCell ref="C170:C171"/>
    <mergeCell ref="D170:D171"/>
    <mergeCell ref="F164:F165"/>
    <mergeCell ref="G164:G165"/>
    <mergeCell ref="H164:H165"/>
    <mergeCell ref="A166:A167"/>
    <mergeCell ref="B166:B167"/>
    <mergeCell ref="C166:G166"/>
    <mergeCell ref="A160:A162"/>
    <mergeCell ref="B160:B162"/>
    <mergeCell ref="C161:C162"/>
    <mergeCell ref="H161:H162"/>
    <mergeCell ref="A164:A165"/>
    <mergeCell ref="B164:B165"/>
    <mergeCell ref="C164:C165"/>
    <mergeCell ref="D164:D165"/>
    <mergeCell ref="E164:E165"/>
    <mergeCell ref="E150:E153"/>
    <mergeCell ref="A156:A157"/>
    <mergeCell ref="B156:B157"/>
    <mergeCell ref="C156:C157"/>
    <mergeCell ref="A158:A159"/>
    <mergeCell ref="B158:B159"/>
    <mergeCell ref="H139:H140"/>
    <mergeCell ref="B141:B155"/>
    <mergeCell ref="C141:G141"/>
    <mergeCell ref="D142:D145"/>
    <mergeCell ref="E142:E145"/>
    <mergeCell ref="D146:D149"/>
    <mergeCell ref="E146:E149"/>
    <mergeCell ref="D150:D153"/>
    <mergeCell ref="E133:E134"/>
    <mergeCell ref="C135:C136"/>
    <mergeCell ref="D135:D136"/>
    <mergeCell ref="D137:D138"/>
    <mergeCell ref="E137:E138"/>
    <mergeCell ref="C139:C140"/>
    <mergeCell ref="D139:D140"/>
    <mergeCell ref="H127:H129"/>
    <mergeCell ref="F128:G128"/>
    <mergeCell ref="F129:G129"/>
    <mergeCell ref="A130:B130"/>
    <mergeCell ref="C130:H130"/>
    <mergeCell ref="A131:A140"/>
    <mergeCell ref="C131:H131"/>
    <mergeCell ref="C132:C133"/>
    <mergeCell ref="D132:D134"/>
    <mergeCell ref="H132:H138"/>
    <mergeCell ref="D125:D126"/>
    <mergeCell ref="A127:A129"/>
    <mergeCell ref="B127:B129"/>
    <mergeCell ref="C127:C129"/>
    <mergeCell ref="D127:D128"/>
    <mergeCell ref="F127:G127"/>
    <mergeCell ref="A117:A126"/>
    <mergeCell ref="B117:B126"/>
    <mergeCell ref="C117:C126"/>
    <mergeCell ref="F117:G117"/>
    <mergeCell ref="H117:H118"/>
    <mergeCell ref="F118:G118"/>
    <mergeCell ref="D119:D124"/>
    <mergeCell ref="E119:E120"/>
    <mergeCell ref="E121:E122"/>
    <mergeCell ref="H123:H124"/>
    <mergeCell ref="A114:A116"/>
    <mergeCell ref="B114:B116"/>
    <mergeCell ref="C114:C116"/>
    <mergeCell ref="D114:D115"/>
    <mergeCell ref="F114:G114"/>
    <mergeCell ref="H114:H116"/>
    <mergeCell ref="F115:G115"/>
    <mergeCell ref="F116:G116"/>
    <mergeCell ref="F109:G109"/>
    <mergeCell ref="H109:H111"/>
    <mergeCell ref="F110:G110"/>
    <mergeCell ref="F111:G111"/>
    <mergeCell ref="A112:H112"/>
    <mergeCell ref="A113:B113"/>
    <mergeCell ref="C113:H113"/>
    <mergeCell ref="C104:C106"/>
    <mergeCell ref="D104:D106"/>
    <mergeCell ref="C107:C108"/>
    <mergeCell ref="D107:D108"/>
    <mergeCell ref="A109:A111"/>
    <mergeCell ref="B109:B111"/>
    <mergeCell ref="C109:C111"/>
    <mergeCell ref="D109:D110"/>
    <mergeCell ref="C94:C95"/>
    <mergeCell ref="C96:C97"/>
    <mergeCell ref="H96:H97"/>
    <mergeCell ref="C98:C99"/>
    <mergeCell ref="H98:H99"/>
    <mergeCell ref="A100:A108"/>
    <mergeCell ref="B100:B108"/>
    <mergeCell ref="C100:H100"/>
    <mergeCell ref="C101:C103"/>
    <mergeCell ref="D101:D103"/>
    <mergeCell ref="C82:C83"/>
    <mergeCell ref="C84:C85"/>
    <mergeCell ref="C86:C87"/>
    <mergeCell ref="C88:C89"/>
    <mergeCell ref="C90:C91"/>
    <mergeCell ref="C92:C93"/>
    <mergeCell ref="C70:C71"/>
    <mergeCell ref="C72:C73"/>
    <mergeCell ref="C74:C75"/>
    <mergeCell ref="C76:C77"/>
    <mergeCell ref="C78:C79"/>
    <mergeCell ref="C80:C81"/>
    <mergeCell ref="C58:C59"/>
    <mergeCell ref="C60:C61"/>
    <mergeCell ref="C62:C63"/>
    <mergeCell ref="C64:C65"/>
    <mergeCell ref="C66:C67"/>
    <mergeCell ref="C68:C69"/>
    <mergeCell ref="C46:C47"/>
    <mergeCell ref="C48:C49"/>
    <mergeCell ref="C50:C51"/>
    <mergeCell ref="C52:C53"/>
    <mergeCell ref="C54:C55"/>
    <mergeCell ref="C56:C57"/>
    <mergeCell ref="C34:C35"/>
    <mergeCell ref="C36:C37"/>
    <mergeCell ref="C38:C39"/>
    <mergeCell ref="C40:C41"/>
    <mergeCell ref="C42:C43"/>
    <mergeCell ref="C44:C45"/>
    <mergeCell ref="H24:H26"/>
    <mergeCell ref="F25:G25"/>
    <mergeCell ref="F26:G26"/>
    <mergeCell ref="A27:A99"/>
    <mergeCell ref="B27:B99"/>
    <mergeCell ref="C27:H27"/>
    <mergeCell ref="C28:C29"/>
    <mergeCell ref="H28:H95"/>
    <mergeCell ref="C30:C31"/>
    <mergeCell ref="C32:C33"/>
    <mergeCell ref="F23:G23"/>
    <mergeCell ref="A24:A26"/>
    <mergeCell ref="B24:B26"/>
    <mergeCell ref="C24:C26"/>
    <mergeCell ref="D24:D25"/>
    <mergeCell ref="F24:G24"/>
    <mergeCell ref="H18:H20"/>
    <mergeCell ref="F19:G19"/>
    <mergeCell ref="F20:G20"/>
    <mergeCell ref="A21:A23"/>
    <mergeCell ref="B21:B23"/>
    <mergeCell ref="C21:C23"/>
    <mergeCell ref="D21:D22"/>
    <mergeCell ref="F21:G21"/>
    <mergeCell ref="H21:H23"/>
    <mergeCell ref="F22:G22"/>
    <mergeCell ref="A13:H13"/>
    <mergeCell ref="A14:H14"/>
    <mergeCell ref="A16:H16"/>
    <mergeCell ref="A17:B17"/>
    <mergeCell ref="C17:H17"/>
    <mergeCell ref="A18:A20"/>
    <mergeCell ref="B18:B20"/>
    <mergeCell ref="C18:C20"/>
    <mergeCell ref="D18:D19"/>
    <mergeCell ref="F18:G18"/>
    <mergeCell ref="A10:H10"/>
    <mergeCell ref="A11:H11"/>
    <mergeCell ref="A12:H1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210"/>
  <sheetViews>
    <sheetView zoomScale="70" zoomScaleNormal="70" zoomScalePageLayoutView="0" workbookViewId="0" topLeftCell="A1">
      <selection activeCell="E51" sqref="E51"/>
    </sheetView>
  </sheetViews>
  <sheetFormatPr defaultColWidth="9.140625" defaultRowHeight="15"/>
  <cols>
    <col min="1" max="1" width="7.57421875" style="5" customWidth="1"/>
    <col min="2" max="2" width="16.8515625" style="5" customWidth="1"/>
    <col min="3" max="3" width="44.421875" style="5" customWidth="1"/>
    <col min="4" max="4" width="20.00390625" style="6" customWidth="1"/>
    <col min="5" max="5" width="20.00390625" style="7" customWidth="1"/>
    <col min="6" max="6" width="20.00390625" style="5" customWidth="1"/>
    <col min="7" max="7" width="20.00390625" style="17" customWidth="1"/>
    <col min="8" max="8" width="93.28125" style="5" customWidth="1"/>
    <col min="9" max="16384" width="9.140625" style="5" customWidth="1"/>
  </cols>
  <sheetData>
    <row r="1" spans="4:8" s="11" customFormat="1" ht="15.75">
      <c r="D1" s="617"/>
      <c r="E1" s="618"/>
      <c r="G1" s="626"/>
      <c r="H1" s="5"/>
    </row>
    <row r="2" spans="4:8" s="11" customFormat="1" ht="22.5" customHeight="1">
      <c r="D2" s="617"/>
      <c r="E2" s="618"/>
      <c r="F2" s="627"/>
      <c r="H2" s="635" t="s">
        <v>0</v>
      </c>
    </row>
    <row r="3" spans="4:8" s="11" customFormat="1" ht="20.25" customHeight="1">
      <c r="D3" s="617"/>
      <c r="E3" s="618"/>
      <c r="F3" s="627"/>
      <c r="H3" s="254" t="s">
        <v>1</v>
      </c>
    </row>
    <row r="4" spans="4:8" s="11" customFormat="1" ht="20.25" customHeight="1">
      <c r="D4" s="617"/>
      <c r="E4" s="618"/>
      <c r="F4" s="627"/>
      <c r="H4" s="255" t="s">
        <v>2</v>
      </c>
    </row>
    <row r="5" spans="4:8" s="11" customFormat="1" ht="20.25">
      <c r="D5" s="617"/>
      <c r="E5" s="618"/>
      <c r="F5" s="627"/>
      <c r="G5" s="114"/>
      <c r="H5" s="114"/>
    </row>
    <row r="6" spans="4:8" s="11" customFormat="1" ht="20.25" customHeight="1">
      <c r="D6" s="617"/>
      <c r="E6" s="618"/>
      <c r="F6" s="627"/>
      <c r="H6" s="112" t="s">
        <v>3</v>
      </c>
    </row>
    <row r="7" spans="4:8" s="11" customFormat="1" ht="20.25">
      <c r="D7" s="617"/>
      <c r="E7" s="618"/>
      <c r="F7" s="627"/>
      <c r="G7" s="628"/>
      <c r="H7" s="629"/>
    </row>
    <row r="9" spans="1:8" s="586" customFormat="1" ht="20.25">
      <c r="A9" s="570" t="s">
        <v>4</v>
      </c>
      <c r="B9" s="570"/>
      <c r="C9" s="570"/>
      <c r="D9" s="570"/>
      <c r="E9" s="570"/>
      <c r="F9" s="570"/>
      <c r="G9" s="570"/>
      <c r="H9" s="570"/>
    </row>
    <row r="10" spans="1:8" s="586" customFormat="1" ht="20.25">
      <c r="A10" s="570" t="s">
        <v>750</v>
      </c>
      <c r="B10" s="570"/>
      <c r="C10" s="570"/>
      <c r="D10" s="570"/>
      <c r="E10" s="570"/>
      <c r="F10" s="570"/>
      <c r="G10" s="570"/>
      <c r="H10" s="570"/>
    </row>
    <row r="11" spans="1:8" s="586" customFormat="1" ht="20.25">
      <c r="A11" s="570" t="s">
        <v>772</v>
      </c>
      <c r="B11" s="570"/>
      <c r="C11" s="570"/>
      <c r="D11" s="570"/>
      <c r="E11" s="570"/>
      <c r="F11" s="570"/>
      <c r="G11" s="570"/>
      <c r="H11" s="570"/>
    </row>
    <row r="12" spans="1:8" s="586" customFormat="1" ht="20.25">
      <c r="A12" s="570" t="s">
        <v>341</v>
      </c>
      <c r="B12" s="570"/>
      <c r="C12" s="570"/>
      <c r="D12" s="570"/>
      <c r="E12" s="570"/>
      <c r="F12" s="570"/>
      <c r="G12" s="570"/>
      <c r="H12" s="570"/>
    </row>
    <row r="13" spans="1:8" s="586" customFormat="1" ht="21" thickBot="1">
      <c r="A13" s="630"/>
      <c r="B13" s="630"/>
      <c r="C13" s="630"/>
      <c r="D13" s="630"/>
      <c r="E13" s="630"/>
      <c r="F13" s="630"/>
      <c r="G13" s="630"/>
      <c r="H13" s="630"/>
    </row>
    <row r="14" spans="1:8" ht="31.5">
      <c r="A14" s="21" t="s">
        <v>6</v>
      </c>
      <c r="B14" s="22" t="s">
        <v>7</v>
      </c>
      <c r="C14" s="22" t="s">
        <v>8</v>
      </c>
      <c r="D14" s="22" t="s">
        <v>9</v>
      </c>
      <c r="E14" s="22" t="s">
        <v>10</v>
      </c>
      <c r="F14" s="22" t="s">
        <v>11</v>
      </c>
      <c r="G14" s="23" t="s">
        <v>12</v>
      </c>
      <c r="H14" s="24" t="s">
        <v>13</v>
      </c>
    </row>
    <row r="15" spans="1:8" ht="15.75">
      <c r="A15" s="370" t="s">
        <v>14</v>
      </c>
      <c r="B15" s="27"/>
      <c r="C15" s="27"/>
      <c r="D15" s="27"/>
      <c r="E15" s="27"/>
      <c r="F15" s="27"/>
      <c r="G15" s="27"/>
      <c r="H15" s="28"/>
    </row>
    <row r="16" spans="1:8" ht="15.75">
      <c r="A16" s="25" t="s">
        <v>15</v>
      </c>
      <c r="B16" s="26"/>
      <c r="C16" s="27" t="s">
        <v>177</v>
      </c>
      <c r="D16" s="27"/>
      <c r="E16" s="27"/>
      <c r="F16" s="27"/>
      <c r="G16" s="27"/>
      <c r="H16" s="28"/>
    </row>
    <row r="17" spans="1:8" ht="15.75">
      <c r="A17" s="420" t="s">
        <v>17</v>
      </c>
      <c r="B17" s="30" t="s">
        <v>18</v>
      </c>
      <c r="C17" s="31" t="s">
        <v>19</v>
      </c>
      <c r="D17" s="32" t="s">
        <v>20</v>
      </c>
      <c r="E17" s="9" t="s">
        <v>21</v>
      </c>
      <c r="F17" s="33" t="s">
        <v>22</v>
      </c>
      <c r="G17" s="34"/>
      <c r="H17" s="371" t="s">
        <v>342</v>
      </c>
    </row>
    <row r="18" spans="1:8" ht="15.75">
      <c r="A18" s="421"/>
      <c r="B18" s="36"/>
      <c r="C18" s="37"/>
      <c r="D18" s="38"/>
      <c r="E18" s="9" t="s">
        <v>253</v>
      </c>
      <c r="F18" s="33" t="s">
        <v>22</v>
      </c>
      <c r="G18" s="34"/>
      <c r="H18" s="521"/>
    </row>
    <row r="19" spans="1:8" ht="15.75">
      <c r="A19" s="422"/>
      <c r="B19" s="41"/>
      <c r="C19" s="42"/>
      <c r="D19" s="43" t="s">
        <v>25</v>
      </c>
      <c r="E19" s="9"/>
      <c r="F19" s="33" t="s">
        <v>22</v>
      </c>
      <c r="G19" s="34"/>
      <c r="H19" s="554"/>
    </row>
    <row r="20" spans="1:8" ht="15.75">
      <c r="A20" s="420" t="s">
        <v>26</v>
      </c>
      <c r="B20" s="30" t="s">
        <v>27</v>
      </c>
      <c r="C20" s="31" t="s">
        <v>343</v>
      </c>
      <c r="D20" s="32" t="s">
        <v>20</v>
      </c>
      <c r="E20" s="9" t="s">
        <v>21</v>
      </c>
      <c r="F20" s="33" t="s">
        <v>22</v>
      </c>
      <c r="G20" s="34"/>
      <c r="H20" s="371" t="s">
        <v>344</v>
      </c>
    </row>
    <row r="21" spans="1:8" ht="15.75">
      <c r="A21" s="421"/>
      <c r="B21" s="36"/>
      <c r="C21" s="37"/>
      <c r="D21" s="38"/>
      <c r="E21" s="9" t="s">
        <v>253</v>
      </c>
      <c r="F21" s="33" t="s">
        <v>22</v>
      </c>
      <c r="G21" s="34"/>
      <c r="H21" s="521"/>
    </row>
    <row r="22" spans="1:8" ht="15.75">
      <c r="A22" s="422"/>
      <c r="B22" s="41"/>
      <c r="C22" s="42"/>
      <c r="D22" s="43" t="s">
        <v>25</v>
      </c>
      <c r="E22" s="9"/>
      <c r="F22" s="33" t="s">
        <v>22</v>
      </c>
      <c r="G22" s="34"/>
      <c r="H22" s="554"/>
    </row>
    <row r="23" spans="1:8" ht="15.75">
      <c r="A23" s="420" t="s">
        <v>30</v>
      </c>
      <c r="B23" s="30" t="s">
        <v>31</v>
      </c>
      <c r="C23" s="31" t="s">
        <v>32</v>
      </c>
      <c r="D23" s="32" t="s">
        <v>20</v>
      </c>
      <c r="E23" s="9" t="s">
        <v>21</v>
      </c>
      <c r="F23" s="33" t="s">
        <v>22</v>
      </c>
      <c r="G23" s="34"/>
      <c r="H23" s="371" t="s">
        <v>344</v>
      </c>
    </row>
    <row r="24" spans="1:8" ht="15.75">
      <c r="A24" s="421"/>
      <c r="B24" s="36"/>
      <c r="C24" s="37"/>
      <c r="D24" s="38"/>
      <c r="E24" s="9" t="s">
        <v>253</v>
      </c>
      <c r="F24" s="33" t="s">
        <v>22</v>
      </c>
      <c r="G24" s="34"/>
      <c r="H24" s="521"/>
    </row>
    <row r="25" spans="1:8" ht="15.75">
      <c r="A25" s="422"/>
      <c r="B25" s="41"/>
      <c r="C25" s="42"/>
      <c r="D25" s="193" t="s">
        <v>25</v>
      </c>
      <c r="E25" s="9"/>
      <c r="F25" s="33" t="s">
        <v>22</v>
      </c>
      <c r="G25" s="34"/>
      <c r="H25" s="554"/>
    </row>
    <row r="26" spans="1:8" ht="15.75">
      <c r="A26" s="420" t="s">
        <v>33</v>
      </c>
      <c r="B26" s="30" t="s">
        <v>34</v>
      </c>
      <c r="C26" s="361" t="s">
        <v>35</v>
      </c>
      <c r="D26" s="362"/>
      <c r="E26" s="362"/>
      <c r="F26" s="362"/>
      <c r="G26" s="362"/>
      <c r="H26" s="363"/>
    </row>
    <row r="27" spans="1:8" ht="15.75">
      <c r="A27" s="421"/>
      <c r="B27" s="36"/>
      <c r="C27" s="9" t="s">
        <v>345</v>
      </c>
      <c r="D27" s="32" t="s">
        <v>20</v>
      </c>
      <c r="E27" s="32" t="s">
        <v>100</v>
      </c>
      <c r="F27" s="276">
        <v>1398</v>
      </c>
      <c r="G27" s="423">
        <f>F27*1.18</f>
        <v>1649.6399999999999</v>
      </c>
      <c r="H27" s="429" t="s">
        <v>771</v>
      </c>
    </row>
    <row r="28" spans="1:8" ht="15.75">
      <c r="A28" s="421"/>
      <c r="B28" s="36"/>
      <c r="C28" s="174" t="s">
        <v>346</v>
      </c>
      <c r="D28" s="178"/>
      <c r="E28" s="178"/>
      <c r="F28" s="276">
        <v>3002</v>
      </c>
      <c r="G28" s="600">
        <f aca="true" t="shared" si="0" ref="G28:G44">F28*1.18</f>
        <v>3542.3599999999997</v>
      </c>
      <c r="H28" s="548"/>
    </row>
    <row r="29" spans="1:8" ht="15.75">
      <c r="A29" s="421"/>
      <c r="B29" s="36"/>
      <c r="C29" s="174" t="s">
        <v>181</v>
      </c>
      <c r="D29" s="178"/>
      <c r="E29" s="178"/>
      <c r="F29" s="276">
        <v>3814</v>
      </c>
      <c r="G29" s="600">
        <f t="shared" si="0"/>
        <v>4500.5199999999995</v>
      </c>
      <c r="H29" s="548"/>
    </row>
    <row r="30" spans="1:8" ht="15.75">
      <c r="A30" s="421"/>
      <c r="B30" s="36"/>
      <c r="C30" s="174" t="s">
        <v>347</v>
      </c>
      <c r="D30" s="178"/>
      <c r="E30" s="178"/>
      <c r="F30" s="276">
        <v>4088</v>
      </c>
      <c r="G30" s="600">
        <f t="shared" si="0"/>
        <v>4823.84</v>
      </c>
      <c r="H30" s="548"/>
    </row>
    <row r="31" spans="1:8" ht="15.75">
      <c r="A31" s="421"/>
      <c r="B31" s="36"/>
      <c r="C31" s="174" t="s">
        <v>348</v>
      </c>
      <c r="D31" s="178"/>
      <c r="E31" s="178"/>
      <c r="F31" s="276">
        <v>4465</v>
      </c>
      <c r="G31" s="600">
        <f t="shared" si="0"/>
        <v>5268.7</v>
      </c>
      <c r="H31" s="548"/>
    </row>
    <row r="32" spans="1:8" ht="15.75">
      <c r="A32" s="421"/>
      <c r="B32" s="36"/>
      <c r="C32" s="174" t="s">
        <v>349</v>
      </c>
      <c r="D32" s="178"/>
      <c r="E32" s="178"/>
      <c r="F32" s="276">
        <v>4849</v>
      </c>
      <c r="G32" s="600">
        <f t="shared" si="0"/>
        <v>5721.82</v>
      </c>
      <c r="H32" s="548"/>
    </row>
    <row r="33" spans="1:8" ht="15.75">
      <c r="A33" s="421"/>
      <c r="B33" s="36"/>
      <c r="C33" s="174" t="s">
        <v>41</v>
      </c>
      <c r="D33" s="178"/>
      <c r="E33" s="178"/>
      <c r="F33" s="276">
        <v>5240</v>
      </c>
      <c r="G33" s="600">
        <f t="shared" si="0"/>
        <v>6183.2</v>
      </c>
      <c r="H33" s="548"/>
    </row>
    <row r="34" spans="1:8" ht="15.75">
      <c r="A34" s="421"/>
      <c r="B34" s="36"/>
      <c r="C34" s="174" t="s">
        <v>185</v>
      </c>
      <c r="D34" s="178"/>
      <c r="E34" s="178"/>
      <c r="F34" s="276">
        <v>5640</v>
      </c>
      <c r="G34" s="600">
        <f t="shared" si="0"/>
        <v>6655.2</v>
      </c>
      <c r="H34" s="548"/>
    </row>
    <row r="35" spans="1:8" ht="15.75">
      <c r="A35" s="421"/>
      <c r="B35" s="36"/>
      <c r="C35" s="174" t="s">
        <v>350</v>
      </c>
      <c r="D35" s="178"/>
      <c r="E35" s="178"/>
      <c r="F35" s="276">
        <v>6045</v>
      </c>
      <c r="G35" s="600">
        <f t="shared" si="0"/>
        <v>7133.099999999999</v>
      </c>
      <c r="H35" s="548"/>
    </row>
    <row r="36" spans="1:8" ht="15.75">
      <c r="A36" s="421"/>
      <c r="B36" s="36"/>
      <c r="C36" s="174" t="s">
        <v>351</v>
      </c>
      <c r="D36" s="178"/>
      <c r="E36" s="178"/>
      <c r="F36" s="276">
        <v>6456</v>
      </c>
      <c r="G36" s="600">
        <f t="shared" si="0"/>
        <v>7618.08</v>
      </c>
      <c r="H36" s="548"/>
    </row>
    <row r="37" spans="1:8" ht="15.75">
      <c r="A37" s="421"/>
      <c r="B37" s="36"/>
      <c r="C37" s="174" t="s">
        <v>352</v>
      </c>
      <c r="D37" s="178"/>
      <c r="E37" s="178"/>
      <c r="F37" s="276">
        <v>7055</v>
      </c>
      <c r="G37" s="600">
        <f t="shared" si="0"/>
        <v>8324.9</v>
      </c>
      <c r="H37" s="548"/>
    </row>
    <row r="38" spans="1:8" ht="15.75">
      <c r="A38" s="421"/>
      <c r="B38" s="36"/>
      <c r="C38" s="174" t="s">
        <v>353</v>
      </c>
      <c r="D38" s="178"/>
      <c r="E38" s="178"/>
      <c r="F38" s="276">
        <v>9457</v>
      </c>
      <c r="G38" s="600">
        <f t="shared" si="0"/>
        <v>11159.26</v>
      </c>
      <c r="H38" s="548"/>
    </row>
    <row r="39" spans="1:8" ht="15.75">
      <c r="A39" s="421"/>
      <c r="B39" s="36"/>
      <c r="C39" s="174" t="s">
        <v>354</v>
      </c>
      <c r="D39" s="178"/>
      <c r="E39" s="178"/>
      <c r="F39" s="276">
        <v>12124</v>
      </c>
      <c r="G39" s="600">
        <f t="shared" si="0"/>
        <v>14306.32</v>
      </c>
      <c r="H39" s="548"/>
    </row>
    <row r="40" spans="1:8" ht="15.75">
      <c r="A40" s="421"/>
      <c r="B40" s="36"/>
      <c r="C40" s="174" t="s">
        <v>355</v>
      </c>
      <c r="D40" s="178"/>
      <c r="E40" s="178"/>
      <c r="F40" s="276">
        <v>14527</v>
      </c>
      <c r="G40" s="600">
        <f t="shared" si="0"/>
        <v>17141.86</v>
      </c>
      <c r="H40" s="548"/>
    </row>
    <row r="41" spans="1:8" ht="15.75">
      <c r="A41" s="421"/>
      <c r="B41" s="36"/>
      <c r="C41" s="174" t="s">
        <v>356</v>
      </c>
      <c r="D41" s="178"/>
      <c r="E41" s="178"/>
      <c r="F41" s="276">
        <v>16409</v>
      </c>
      <c r="G41" s="600">
        <f t="shared" si="0"/>
        <v>19362.62</v>
      </c>
      <c r="H41" s="548"/>
    </row>
    <row r="42" spans="1:8" ht="15.75">
      <c r="A42" s="421"/>
      <c r="B42" s="36"/>
      <c r="C42" s="174" t="s">
        <v>357</v>
      </c>
      <c r="D42" s="178"/>
      <c r="E42" s="178"/>
      <c r="F42" s="276">
        <v>19344</v>
      </c>
      <c r="G42" s="600">
        <f t="shared" si="0"/>
        <v>22825.92</v>
      </c>
      <c r="H42" s="548"/>
    </row>
    <row r="43" spans="1:8" ht="15.75">
      <c r="A43" s="421"/>
      <c r="B43" s="36"/>
      <c r="C43" s="174" t="s">
        <v>358</v>
      </c>
      <c r="D43" s="178"/>
      <c r="E43" s="178"/>
      <c r="F43" s="276">
        <v>34151</v>
      </c>
      <c r="G43" s="600">
        <f t="shared" si="0"/>
        <v>40298.18</v>
      </c>
      <c r="H43" s="548"/>
    </row>
    <row r="44" spans="1:8" ht="15.75">
      <c r="A44" s="421"/>
      <c r="B44" s="36"/>
      <c r="C44" s="431" t="s">
        <v>359</v>
      </c>
      <c r="D44" s="178"/>
      <c r="E44" s="178"/>
      <c r="F44" s="276">
        <v>3630</v>
      </c>
      <c r="G44" s="600">
        <f t="shared" si="0"/>
        <v>4283.4</v>
      </c>
      <c r="H44" s="548"/>
    </row>
    <row r="45" spans="1:8" ht="15.75">
      <c r="A45" s="421"/>
      <c r="B45" s="36"/>
      <c r="C45" s="32" t="s">
        <v>360</v>
      </c>
      <c r="D45" s="9" t="s">
        <v>20</v>
      </c>
      <c r="E45" s="193" t="s">
        <v>21</v>
      </c>
      <c r="F45" s="424">
        <f>2089*1.06-0.34</f>
        <v>2214</v>
      </c>
      <c r="G45" s="600">
        <f aca="true" t="shared" si="1" ref="G45:G95">F45*1.2</f>
        <v>2656.7999999999997</v>
      </c>
      <c r="H45" s="548"/>
    </row>
    <row r="46" spans="1:8" ht="15.75">
      <c r="A46" s="421"/>
      <c r="B46" s="36"/>
      <c r="C46" s="39"/>
      <c r="D46" s="9" t="s">
        <v>20</v>
      </c>
      <c r="E46" s="174" t="s">
        <v>24</v>
      </c>
      <c r="F46" s="424">
        <f>3313*1.06+0.22</f>
        <v>3512</v>
      </c>
      <c r="G46" s="600">
        <f t="shared" si="1"/>
        <v>4214.4</v>
      </c>
      <c r="H46" s="548"/>
    </row>
    <row r="47" spans="1:8" ht="15.75">
      <c r="A47" s="421"/>
      <c r="B47" s="36"/>
      <c r="C47" s="173" t="s">
        <v>346</v>
      </c>
      <c r="D47" s="9" t="s">
        <v>20</v>
      </c>
      <c r="E47" s="193" t="s">
        <v>21</v>
      </c>
      <c r="F47" s="424">
        <f>4114*1.06+0.16</f>
        <v>4361</v>
      </c>
      <c r="G47" s="600">
        <f t="shared" si="1"/>
        <v>5233.2</v>
      </c>
      <c r="H47" s="548"/>
    </row>
    <row r="48" spans="1:8" ht="15.75">
      <c r="A48" s="421"/>
      <c r="B48" s="36"/>
      <c r="C48" s="178"/>
      <c r="D48" s="9" t="s">
        <v>20</v>
      </c>
      <c r="E48" s="174" t="s">
        <v>24</v>
      </c>
      <c r="F48" s="424">
        <f>5180*1.06+0.2</f>
        <v>5491</v>
      </c>
      <c r="G48" s="600">
        <f t="shared" si="1"/>
        <v>6589.2</v>
      </c>
      <c r="H48" s="548"/>
    </row>
    <row r="49" spans="1:8" ht="15.75">
      <c r="A49" s="421"/>
      <c r="B49" s="36"/>
      <c r="C49" s="173" t="s">
        <v>181</v>
      </c>
      <c r="D49" s="9" t="s">
        <v>20</v>
      </c>
      <c r="E49" s="193" t="s">
        <v>21</v>
      </c>
      <c r="F49" s="424">
        <f>5667*1.06-0.02</f>
        <v>6007</v>
      </c>
      <c r="G49" s="600">
        <f t="shared" si="1"/>
        <v>7208.4</v>
      </c>
      <c r="H49" s="548"/>
    </row>
    <row r="50" spans="1:8" ht="15.75">
      <c r="A50" s="421"/>
      <c r="B50" s="36"/>
      <c r="C50" s="178"/>
      <c r="D50" s="9" t="s">
        <v>20</v>
      </c>
      <c r="E50" s="174" t="s">
        <v>24</v>
      </c>
      <c r="F50" s="424">
        <f>7319*1.06-0.14</f>
        <v>7758</v>
      </c>
      <c r="G50" s="600">
        <f t="shared" si="1"/>
        <v>9309.6</v>
      </c>
      <c r="H50" s="548"/>
    </row>
    <row r="51" spans="1:8" ht="15.75">
      <c r="A51" s="421"/>
      <c r="B51" s="36"/>
      <c r="C51" s="173" t="s">
        <v>347</v>
      </c>
      <c r="D51" s="9" t="s">
        <v>20</v>
      </c>
      <c r="E51" s="193" t="s">
        <v>21</v>
      </c>
      <c r="F51" s="424">
        <f>6281*1.06+0.14</f>
        <v>6658.000000000001</v>
      </c>
      <c r="G51" s="600">
        <f t="shared" si="1"/>
        <v>7989.6</v>
      </c>
      <c r="H51" s="548"/>
    </row>
    <row r="52" spans="1:8" ht="15.75">
      <c r="A52" s="421"/>
      <c r="B52" s="36"/>
      <c r="C52" s="178"/>
      <c r="D52" s="9" t="s">
        <v>20</v>
      </c>
      <c r="E52" s="174" t="s">
        <v>24</v>
      </c>
      <c r="F52" s="424">
        <f>10036*1.06-0.16</f>
        <v>10638</v>
      </c>
      <c r="G52" s="600">
        <f t="shared" si="1"/>
        <v>12765.6</v>
      </c>
      <c r="H52" s="548"/>
    </row>
    <row r="53" spans="1:8" ht="15.75">
      <c r="A53" s="421"/>
      <c r="B53" s="36"/>
      <c r="C53" s="173" t="s">
        <v>348</v>
      </c>
      <c r="D53" s="9" t="s">
        <v>20</v>
      </c>
      <c r="E53" s="193" t="s">
        <v>21</v>
      </c>
      <c r="F53" s="424">
        <f>7401*1.06-0.06</f>
        <v>7845</v>
      </c>
      <c r="G53" s="600">
        <f t="shared" si="1"/>
        <v>9414</v>
      </c>
      <c r="H53" s="548"/>
    </row>
    <row r="54" spans="1:8" ht="15.75">
      <c r="A54" s="421"/>
      <c r="B54" s="36"/>
      <c r="C54" s="178"/>
      <c r="D54" s="9" t="s">
        <v>20</v>
      </c>
      <c r="E54" s="174" t="s">
        <v>24</v>
      </c>
      <c r="F54" s="424">
        <f>12056*1.06-0.36</f>
        <v>12779</v>
      </c>
      <c r="G54" s="600">
        <f t="shared" si="1"/>
        <v>15334.8</v>
      </c>
      <c r="H54" s="548"/>
    </row>
    <row r="55" spans="1:8" ht="15.75">
      <c r="A55" s="421"/>
      <c r="B55" s="36"/>
      <c r="C55" s="173" t="s">
        <v>349</v>
      </c>
      <c r="D55" s="9" t="s">
        <v>20</v>
      </c>
      <c r="E55" s="193" t="s">
        <v>21</v>
      </c>
      <c r="F55" s="424">
        <f>9158*1.06+0.52</f>
        <v>9708.000000000002</v>
      </c>
      <c r="G55" s="600">
        <f t="shared" si="1"/>
        <v>11649.600000000002</v>
      </c>
      <c r="H55" s="548"/>
    </row>
    <row r="56" spans="1:8" ht="15.75">
      <c r="A56" s="421"/>
      <c r="B56" s="36"/>
      <c r="C56" s="178"/>
      <c r="D56" s="9" t="s">
        <v>20</v>
      </c>
      <c r="E56" s="174" t="s">
        <v>24</v>
      </c>
      <c r="F56" s="424">
        <f>14666*1.06+0.04</f>
        <v>15546.000000000002</v>
      </c>
      <c r="G56" s="600">
        <f t="shared" si="1"/>
        <v>18655.2</v>
      </c>
      <c r="H56" s="548"/>
    </row>
    <row r="57" spans="1:8" ht="15.75">
      <c r="A57" s="421"/>
      <c r="B57" s="36"/>
      <c r="C57" s="173" t="s">
        <v>41</v>
      </c>
      <c r="D57" s="9" t="s">
        <v>20</v>
      </c>
      <c r="E57" s="193" t="s">
        <v>21</v>
      </c>
      <c r="F57" s="424">
        <f>10048*1.06+0.12</f>
        <v>10651.000000000002</v>
      </c>
      <c r="G57" s="600">
        <f t="shared" si="1"/>
        <v>12781.200000000003</v>
      </c>
      <c r="H57" s="548"/>
    </row>
    <row r="58" spans="1:8" ht="15.75">
      <c r="A58" s="421"/>
      <c r="B58" s="36"/>
      <c r="C58" s="178"/>
      <c r="D58" s="9" t="s">
        <v>20</v>
      </c>
      <c r="E58" s="174" t="s">
        <v>24</v>
      </c>
      <c r="F58" s="424">
        <f>16231*1.06+0.14</f>
        <v>17205</v>
      </c>
      <c r="G58" s="600">
        <f t="shared" si="1"/>
        <v>20646</v>
      </c>
      <c r="H58" s="548"/>
    </row>
    <row r="59" spans="1:8" ht="15.75">
      <c r="A59" s="421"/>
      <c r="B59" s="36"/>
      <c r="C59" s="173" t="s">
        <v>185</v>
      </c>
      <c r="D59" s="9" t="s">
        <v>20</v>
      </c>
      <c r="E59" s="193" t="s">
        <v>21</v>
      </c>
      <c r="F59" s="424">
        <f>11144*1.06+0.36</f>
        <v>11813.000000000002</v>
      </c>
      <c r="G59" s="600">
        <f t="shared" si="1"/>
        <v>14175.600000000002</v>
      </c>
      <c r="H59" s="548"/>
    </row>
    <row r="60" spans="1:8" ht="15.75">
      <c r="A60" s="421"/>
      <c r="B60" s="36"/>
      <c r="C60" s="178"/>
      <c r="D60" s="9" t="s">
        <v>20</v>
      </c>
      <c r="E60" s="174" t="s">
        <v>24</v>
      </c>
      <c r="F60" s="424">
        <f>17864*1.06+0.16</f>
        <v>18936</v>
      </c>
      <c r="G60" s="600">
        <f t="shared" si="1"/>
        <v>22723.2</v>
      </c>
      <c r="H60" s="548"/>
    </row>
    <row r="61" spans="1:8" ht="15.75">
      <c r="A61" s="421"/>
      <c r="B61" s="36"/>
      <c r="C61" s="173" t="s">
        <v>350</v>
      </c>
      <c r="D61" s="9" t="s">
        <v>20</v>
      </c>
      <c r="E61" s="193" t="s">
        <v>21</v>
      </c>
      <c r="F61" s="424">
        <f>11921*1.06-0.26</f>
        <v>12636</v>
      </c>
      <c r="G61" s="600">
        <f t="shared" si="1"/>
        <v>15163.199999999999</v>
      </c>
      <c r="H61" s="548"/>
    </row>
    <row r="62" spans="1:8" ht="15.75">
      <c r="A62" s="421"/>
      <c r="B62" s="36"/>
      <c r="C62" s="178"/>
      <c r="D62" s="9" t="s">
        <v>20</v>
      </c>
      <c r="E62" s="174" t="s">
        <v>24</v>
      </c>
      <c r="F62" s="424">
        <f>19566*1.06+0.04</f>
        <v>20740.000000000004</v>
      </c>
      <c r="G62" s="600">
        <f t="shared" si="1"/>
        <v>24888.000000000004</v>
      </c>
      <c r="H62" s="548"/>
    </row>
    <row r="63" spans="1:8" ht="15.75">
      <c r="A63" s="421"/>
      <c r="B63" s="36"/>
      <c r="C63" s="173" t="s">
        <v>351</v>
      </c>
      <c r="D63" s="9" t="s">
        <v>20</v>
      </c>
      <c r="E63" s="193" t="s">
        <v>21</v>
      </c>
      <c r="F63" s="424">
        <f>13278*1.06+0.32</f>
        <v>14075</v>
      </c>
      <c r="G63" s="600">
        <f t="shared" si="1"/>
        <v>16890</v>
      </c>
      <c r="H63" s="548"/>
    </row>
    <row r="64" spans="1:8" ht="15.75">
      <c r="A64" s="421"/>
      <c r="B64" s="36"/>
      <c r="C64" s="178"/>
      <c r="D64" s="9" t="s">
        <v>20</v>
      </c>
      <c r="E64" s="174" t="s">
        <v>24</v>
      </c>
      <c r="F64" s="424">
        <f>21599*1.06+0.06</f>
        <v>22895.000000000004</v>
      </c>
      <c r="G64" s="600">
        <f t="shared" si="1"/>
        <v>27474.000000000004</v>
      </c>
      <c r="H64" s="548"/>
    </row>
    <row r="65" spans="1:8" ht="15.75">
      <c r="A65" s="421"/>
      <c r="B65" s="36"/>
      <c r="C65" s="173" t="s">
        <v>361</v>
      </c>
      <c r="D65" s="9" t="s">
        <v>20</v>
      </c>
      <c r="E65" s="193" t="s">
        <v>21</v>
      </c>
      <c r="F65" s="424">
        <f>14330*1.06+0.2</f>
        <v>15190.000000000002</v>
      </c>
      <c r="G65" s="600">
        <f t="shared" si="1"/>
        <v>18228</v>
      </c>
      <c r="H65" s="548"/>
    </row>
    <row r="66" spans="1:8" ht="15.75">
      <c r="A66" s="421"/>
      <c r="B66" s="36"/>
      <c r="C66" s="178"/>
      <c r="D66" s="9" t="s">
        <v>20</v>
      </c>
      <c r="E66" s="174" t="s">
        <v>24</v>
      </c>
      <c r="F66" s="424">
        <f>23744*1.06+0.36</f>
        <v>25169.000000000004</v>
      </c>
      <c r="G66" s="600">
        <f t="shared" si="1"/>
        <v>30202.800000000003</v>
      </c>
      <c r="H66" s="548"/>
    </row>
    <row r="67" spans="1:8" ht="15.75">
      <c r="A67" s="421"/>
      <c r="B67" s="36"/>
      <c r="C67" s="173" t="s">
        <v>353</v>
      </c>
      <c r="D67" s="9" t="s">
        <v>20</v>
      </c>
      <c r="E67" s="193" t="s">
        <v>21</v>
      </c>
      <c r="F67" s="424">
        <f>15183*1.06+0.02</f>
        <v>16094.000000000002</v>
      </c>
      <c r="G67" s="600">
        <f t="shared" si="1"/>
        <v>19312.800000000003</v>
      </c>
      <c r="H67" s="548"/>
    </row>
    <row r="68" spans="1:8" ht="15.75">
      <c r="A68" s="421"/>
      <c r="B68" s="36"/>
      <c r="C68" s="178"/>
      <c r="D68" s="9" t="s">
        <v>20</v>
      </c>
      <c r="E68" s="174" t="s">
        <v>24</v>
      </c>
      <c r="F68" s="424">
        <f>25165*1.06+0.1</f>
        <v>26675</v>
      </c>
      <c r="G68" s="600">
        <f t="shared" si="1"/>
        <v>32010</v>
      </c>
      <c r="H68" s="548"/>
    </row>
    <row r="69" spans="1:8" ht="15.75">
      <c r="A69" s="421"/>
      <c r="B69" s="36"/>
      <c r="C69" s="173" t="s">
        <v>354</v>
      </c>
      <c r="D69" s="9" t="s">
        <v>20</v>
      </c>
      <c r="E69" s="193" t="s">
        <v>21</v>
      </c>
      <c r="F69" s="424">
        <f>17237*1.06-0.22</f>
        <v>18271</v>
      </c>
      <c r="G69" s="600">
        <f t="shared" si="1"/>
        <v>21925.2</v>
      </c>
      <c r="H69" s="548"/>
    </row>
    <row r="70" spans="1:8" ht="15.75">
      <c r="A70" s="421"/>
      <c r="B70" s="36"/>
      <c r="C70" s="178"/>
      <c r="D70" s="9" t="s">
        <v>20</v>
      </c>
      <c r="E70" s="174" t="s">
        <v>24</v>
      </c>
      <c r="F70" s="424">
        <f>26225*1.06+0.5</f>
        <v>27799</v>
      </c>
      <c r="G70" s="600">
        <f t="shared" si="1"/>
        <v>33358.799999999996</v>
      </c>
      <c r="H70" s="548"/>
    </row>
    <row r="71" spans="1:8" ht="15.75">
      <c r="A71" s="421"/>
      <c r="B71" s="36"/>
      <c r="C71" s="173" t="s">
        <v>355</v>
      </c>
      <c r="D71" s="9" t="s">
        <v>20</v>
      </c>
      <c r="E71" s="193" t="s">
        <v>21</v>
      </c>
      <c r="F71" s="424">
        <f>17539*1.06-0.34</f>
        <v>18591</v>
      </c>
      <c r="G71" s="600">
        <f t="shared" si="1"/>
        <v>22309.2</v>
      </c>
      <c r="H71" s="548"/>
    </row>
    <row r="72" spans="1:8" ht="15.75">
      <c r="A72" s="421"/>
      <c r="B72" s="36"/>
      <c r="C72" s="178"/>
      <c r="D72" s="9" t="s">
        <v>20</v>
      </c>
      <c r="E72" s="174" t="s">
        <v>24</v>
      </c>
      <c r="F72" s="424">
        <f>29079*1.06+0.26</f>
        <v>30824</v>
      </c>
      <c r="G72" s="600">
        <f t="shared" si="1"/>
        <v>36988.799999999996</v>
      </c>
      <c r="H72" s="548"/>
    </row>
    <row r="73" spans="1:8" ht="15.75">
      <c r="A73" s="421"/>
      <c r="B73" s="36"/>
      <c r="C73" s="173" t="s">
        <v>356</v>
      </c>
      <c r="D73" s="9" t="s">
        <v>20</v>
      </c>
      <c r="E73" s="193" t="s">
        <v>21</v>
      </c>
      <c r="F73" s="424">
        <f>22678*1.06+0.32</f>
        <v>24039</v>
      </c>
      <c r="G73" s="600">
        <f t="shared" si="1"/>
        <v>28846.8</v>
      </c>
      <c r="H73" s="548"/>
    </row>
    <row r="74" spans="1:8" ht="15.75">
      <c r="A74" s="421"/>
      <c r="B74" s="36"/>
      <c r="C74" s="178"/>
      <c r="D74" s="9" t="s">
        <v>20</v>
      </c>
      <c r="E74" s="174" t="s">
        <v>24</v>
      </c>
      <c r="F74" s="424">
        <f>32062*1.06+0.28</f>
        <v>33986</v>
      </c>
      <c r="G74" s="600">
        <f t="shared" si="1"/>
        <v>40783.2</v>
      </c>
      <c r="H74" s="548"/>
    </row>
    <row r="75" spans="1:8" ht="15.75">
      <c r="A75" s="421"/>
      <c r="B75" s="36"/>
      <c r="C75" s="173" t="s">
        <v>357</v>
      </c>
      <c r="D75" s="9" t="s">
        <v>20</v>
      </c>
      <c r="E75" s="193" t="s">
        <v>21</v>
      </c>
      <c r="F75" s="424">
        <f>26959*1.06+0.46</f>
        <v>28577</v>
      </c>
      <c r="G75" s="600">
        <f t="shared" si="1"/>
        <v>34292.4</v>
      </c>
      <c r="H75" s="548"/>
    </row>
    <row r="76" spans="1:8" ht="15.75">
      <c r="A76" s="421"/>
      <c r="B76" s="36"/>
      <c r="C76" s="178"/>
      <c r="D76" s="9" t="s">
        <v>20</v>
      </c>
      <c r="E76" s="174" t="s">
        <v>24</v>
      </c>
      <c r="F76" s="424">
        <f>36408*1.06+0.52</f>
        <v>38593</v>
      </c>
      <c r="G76" s="600">
        <f t="shared" si="1"/>
        <v>46311.6</v>
      </c>
      <c r="H76" s="548"/>
    </row>
    <row r="77" spans="1:8" ht="15.75">
      <c r="A77" s="421"/>
      <c r="B77" s="36"/>
      <c r="C77" s="173" t="s">
        <v>358</v>
      </c>
      <c r="D77" s="9" t="s">
        <v>20</v>
      </c>
      <c r="E77" s="193" t="s">
        <v>21</v>
      </c>
      <c r="F77" s="424">
        <f>43803*1.06-0.18</f>
        <v>46431</v>
      </c>
      <c r="G77" s="600">
        <f t="shared" si="1"/>
        <v>55717.2</v>
      </c>
      <c r="H77" s="548"/>
    </row>
    <row r="78" spans="1:8" ht="15.75">
      <c r="A78" s="421"/>
      <c r="B78" s="36"/>
      <c r="C78" s="179"/>
      <c r="D78" s="9" t="s">
        <v>20</v>
      </c>
      <c r="E78" s="174" t="s">
        <v>24</v>
      </c>
      <c r="F78" s="424">
        <f>50220*1.06-0.2</f>
        <v>53233.00000000001</v>
      </c>
      <c r="G78" s="600">
        <f t="shared" si="1"/>
        <v>63879.600000000006</v>
      </c>
      <c r="H78" s="548"/>
    </row>
    <row r="79" spans="1:8" ht="15.75">
      <c r="A79" s="421"/>
      <c r="B79" s="36"/>
      <c r="C79" s="514" t="s">
        <v>360</v>
      </c>
      <c r="D79" s="334" t="s">
        <v>362</v>
      </c>
      <c r="E79" s="215"/>
      <c r="F79" s="601">
        <f>1972*1.06-0.32</f>
        <v>2090</v>
      </c>
      <c r="G79" s="600">
        <f t="shared" si="1"/>
        <v>2508</v>
      </c>
      <c r="H79" s="548"/>
    </row>
    <row r="80" spans="1:8" ht="15.75">
      <c r="A80" s="421"/>
      <c r="B80" s="36"/>
      <c r="C80" s="174" t="s">
        <v>346</v>
      </c>
      <c r="D80" s="334"/>
      <c r="E80" s="215"/>
      <c r="F80" s="222">
        <f>3996*1.06+0.24</f>
        <v>4236</v>
      </c>
      <c r="G80" s="600">
        <f t="shared" si="1"/>
        <v>5083.2</v>
      </c>
      <c r="H80" s="548"/>
    </row>
    <row r="81" spans="1:8" ht="15.75">
      <c r="A81" s="421"/>
      <c r="B81" s="36"/>
      <c r="C81" s="174" t="s">
        <v>181</v>
      </c>
      <c r="D81" s="334"/>
      <c r="E81" s="215"/>
      <c r="F81" s="222">
        <f>5550*1.06</f>
        <v>5883</v>
      </c>
      <c r="G81" s="600">
        <f t="shared" si="1"/>
        <v>7059.599999999999</v>
      </c>
      <c r="H81" s="548"/>
    </row>
    <row r="82" spans="1:8" ht="15.75">
      <c r="A82" s="421"/>
      <c r="B82" s="36"/>
      <c r="C82" s="174" t="s">
        <v>347</v>
      </c>
      <c r="D82" s="334"/>
      <c r="E82" s="215"/>
      <c r="F82" s="222">
        <f>6164*1.06+0.16</f>
        <v>6534</v>
      </c>
      <c r="G82" s="600">
        <f t="shared" si="1"/>
        <v>7840.799999999999</v>
      </c>
      <c r="H82" s="548"/>
    </row>
    <row r="83" spans="1:8" ht="15.75">
      <c r="A83" s="421"/>
      <c r="B83" s="36"/>
      <c r="C83" s="174" t="s">
        <v>348</v>
      </c>
      <c r="D83" s="334"/>
      <c r="E83" s="215"/>
      <c r="F83" s="222">
        <f>7283*1.06+0.02</f>
        <v>7720.000000000001</v>
      </c>
      <c r="G83" s="600">
        <f>F83*1.2</f>
        <v>9264</v>
      </c>
      <c r="H83" s="548"/>
    </row>
    <row r="84" spans="1:8" ht="15.75">
      <c r="A84" s="421"/>
      <c r="B84" s="36"/>
      <c r="C84" s="174" t="s">
        <v>349</v>
      </c>
      <c r="D84" s="334"/>
      <c r="E84" s="215"/>
      <c r="F84" s="222">
        <f>9040*1.06-0.4</f>
        <v>9582</v>
      </c>
      <c r="G84" s="600">
        <f t="shared" si="1"/>
        <v>11498.4</v>
      </c>
      <c r="H84" s="548"/>
    </row>
    <row r="85" spans="1:8" ht="15.75">
      <c r="A85" s="421"/>
      <c r="B85" s="36"/>
      <c r="C85" s="174" t="s">
        <v>41</v>
      </c>
      <c r="D85" s="334"/>
      <c r="E85" s="215"/>
      <c r="F85" s="222">
        <f>9930*1.06+0.2</f>
        <v>10526.000000000002</v>
      </c>
      <c r="G85" s="600">
        <f t="shared" si="1"/>
        <v>12631.200000000003</v>
      </c>
      <c r="H85" s="548"/>
    </row>
    <row r="86" spans="1:8" ht="15.75">
      <c r="A86" s="421"/>
      <c r="B86" s="36"/>
      <c r="C86" s="174" t="s">
        <v>185</v>
      </c>
      <c r="D86" s="334"/>
      <c r="E86" s="215"/>
      <c r="F86" s="222">
        <f>11026*1.06+0.44</f>
        <v>11688.000000000002</v>
      </c>
      <c r="G86" s="600">
        <f t="shared" si="1"/>
        <v>14025.600000000002</v>
      </c>
      <c r="H86" s="548"/>
    </row>
    <row r="87" spans="1:8" ht="15.75">
      <c r="A87" s="421"/>
      <c r="B87" s="36"/>
      <c r="C87" s="174" t="s">
        <v>350</v>
      </c>
      <c r="D87" s="334"/>
      <c r="E87" s="215"/>
      <c r="F87" s="222">
        <f>11626*1.06+0.44</f>
        <v>12324.000000000002</v>
      </c>
      <c r="G87" s="600">
        <f t="shared" si="1"/>
        <v>14788.800000000001</v>
      </c>
      <c r="H87" s="548"/>
    </row>
    <row r="88" spans="1:8" ht="15.75">
      <c r="A88" s="421"/>
      <c r="B88" s="36"/>
      <c r="C88" s="174" t="s">
        <v>351</v>
      </c>
      <c r="D88" s="334"/>
      <c r="E88" s="215"/>
      <c r="F88" s="222">
        <f>11789*1.06-0.34</f>
        <v>12496</v>
      </c>
      <c r="G88" s="600">
        <f t="shared" si="1"/>
        <v>14995.199999999999</v>
      </c>
      <c r="H88" s="548"/>
    </row>
    <row r="89" spans="1:8" ht="15.75">
      <c r="A89" s="421"/>
      <c r="B89" s="36"/>
      <c r="C89" s="174" t="s">
        <v>352</v>
      </c>
      <c r="D89" s="334"/>
      <c r="E89" s="215"/>
      <c r="F89" s="222">
        <f>11952*1.06-0.12</f>
        <v>12669</v>
      </c>
      <c r="G89" s="600">
        <f t="shared" si="1"/>
        <v>15202.8</v>
      </c>
      <c r="H89" s="548"/>
    </row>
    <row r="90" spans="1:8" ht="15.75">
      <c r="A90" s="421"/>
      <c r="B90" s="36"/>
      <c r="C90" s="174" t="s">
        <v>353</v>
      </c>
      <c r="D90" s="334"/>
      <c r="E90" s="215"/>
      <c r="F90" s="222">
        <f>11995*1.06+0.3</f>
        <v>12715</v>
      </c>
      <c r="G90" s="600">
        <f t="shared" si="1"/>
        <v>15258</v>
      </c>
      <c r="H90" s="548"/>
    </row>
    <row r="91" spans="1:8" ht="15.75">
      <c r="A91" s="421"/>
      <c r="B91" s="36"/>
      <c r="C91" s="174" t="s">
        <v>354</v>
      </c>
      <c r="D91" s="334"/>
      <c r="E91" s="215"/>
      <c r="F91" s="222">
        <f>13336*1.05+0.2</f>
        <v>14003.000000000002</v>
      </c>
      <c r="G91" s="600">
        <f t="shared" si="1"/>
        <v>16803.600000000002</v>
      </c>
      <c r="H91" s="548"/>
    </row>
    <row r="92" spans="1:8" ht="15.75">
      <c r="A92" s="421"/>
      <c r="B92" s="36"/>
      <c r="C92" s="174" t="s">
        <v>355</v>
      </c>
      <c r="D92" s="334"/>
      <c r="E92" s="215"/>
      <c r="F92" s="222">
        <f>15630*1.06+0.2</f>
        <v>16568</v>
      </c>
      <c r="G92" s="600">
        <f t="shared" si="1"/>
        <v>19881.6</v>
      </c>
      <c r="H92" s="548"/>
    </row>
    <row r="93" spans="1:8" ht="15.75">
      <c r="A93" s="421"/>
      <c r="B93" s="36"/>
      <c r="C93" s="174" t="s">
        <v>356</v>
      </c>
      <c r="D93" s="334"/>
      <c r="E93" s="215"/>
      <c r="F93" s="222">
        <f>18983*1.06+0.02</f>
        <v>20122</v>
      </c>
      <c r="G93" s="600">
        <f t="shared" si="1"/>
        <v>24146.399999999998</v>
      </c>
      <c r="H93" s="548"/>
    </row>
    <row r="94" spans="1:8" ht="15.75">
      <c r="A94" s="421"/>
      <c r="B94" s="36"/>
      <c r="C94" s="174" t="s">
        <v>357</v>
      </c>
      <c r="D94" s="334"/>
      <c r="E94" s="215"/>
      <c r="F94" s="222">
        <f>22125*1.06+0.5</f>
        <v>23453</v>
      </c>
      <c r="G94" s="600">
        <f t="shared" si="1"/>
        <v>28143.6</v>
      </c>
      <c r="H94" s="548"/>
    </row>
    <row r="95" spans="1:8" ht="15.75">
      <c r="A95" s="421"/>
      <c r="B95" s="36"/>
      <c r="C95" s="174" t="s">
        <v>358</v>
      </c>
      <c r="D95" s="334"/>
      <c r="E95" s="215"/>
      <c r="F95" s="222">
        <f>37970*1.06-0.2</f>
        <v>40248.00000000001</v>
      </c>
      <c r="G95" s="600">
        <f t="shared" si="1"/>
        <v>48297.600000000006</v>
      </c>
      <c r="H95" s="548"/>
    </row>
    <row r="96" spans="1:8" ht="15.75">
      <c r="A96" s="420" t="s">
        <v>50</v>
      </c>
      <c r="B96" s="30" t="s">
        <v>59</v>
      </c>
      <c r="C96" s="32" t="s">
        <v>60</v>
      </c>
      <c r="D96" s="32" t="s">
        <v>20</v>
      </c>
      <c r="E96" s="9" t="s">
        <v>21</v>
      </c>
      <c r="F96" s="33" t="s">
        <v>22</v>
      </c>
      <c r="G96" s="34"/>
      <c r="H96" s="371" t="s">
        <v>344</v>
      </c>
    </row>
    <row r="97" spans="1:8" ht="15.75">
      <c r="A97" s="421"/>
      <c r="B97" s="36"/>
      <c r="C97" s="39"/>
      <c r="D97" s="38"/>
      <c r="E97" s="9" t="s">
        <v>253</v>
      </c>
      <c r="F97" s="33" t="s">
        <v>22</v>
      </c>
      <c r="G97" s="34"/>
      <c r="H97" s="521"/>
    </row>
    <row r="98" spans="1:8" ht="15.75">
      <c r="A98" s="422"/>
      <c r="B98" s="41"/>
      <c r="C98" s="38"/>
      <c r="D98" s="287" t="s">
        <v>25</v>
      </c>
      <c r="E98" s="285" t="s">
        <v>25</v>
      </c>
      <c r="F98" s="33" t="s">
        <v>22</v>
      </c>
      <c r="G98" s="34"/>
      <c r="H98" s="554"/>
    </row>
    <row r="99" spans="1:8" ht="15.75">
      <c r="A99" s="420" t="s">
        <v>58</v>
      </c>
      <c r="B99" s="30" t="s">
        <v>363</v>
      </c>
      <c r="C99" s="361" t="s">
        <v>364</v>
      </c>
      <c r="D99" s="362"/>
      <c r="E99" s="362"/>
      <c r="F99" s="362"/>
      <c r="G99" s="362"/>
      <c r="H99" s="363"/>
    </row>
    <row r="100" spans="1:8" ht="15.75">
      <c r="A100" s="421"/>
      <c r="B100" s="36"/>
      <c r="C100" s="32" t="s">
        <v>365</v>
      </c>
      <c r="D100" s="32" t="s">
        <v>20</v>
      </c>
      <c r="E100" s="286" t="s">
        <v>21</v>
      </c>
      <c r="F100" s="425">
        <v>2738</v>
      </c>
      <c r="G100" s="600">
        <f>F100*1.2</f>
        <v>3285.6</v>
      </c>
      <c r="H100" s="427" t="s">
        <v>54</v>
      </c>
    </row>
    <row r="101" spans="1:8" ht="15.75">
      <c r="A101" s="421"/>
      <c r="B101" s="36"/>
      <c r="C101" s="39"/>
      <c r="D101" s="39"/>
      <c r="E101" s="9" t="s">
        <v>21</v>
      </c>
      <c r="F101" s="214">
        <v>3886</v>
      </c>
      <c r="G101" s="600">
        <f>F101*1.2</f>
        <v>4663.2</v>
      </c>
      <c r="H101" s="427" t="s">
        <v>55</v>
      </c>
    </row>
    <row r="102" spans="1:8" ht="15.75">
      <c r="A102" s="421"/>
      <c r="B102" s="36"/>
      <c r="C102" s="38"/>
      <c r="D102" s="38"/>
      <c r="E102" s="9" t="s">
        <v>253</v>
      </c>
      <c r="F102" s="426">
        <v>4738</v>
      </c>
      <c r="G102" s="600">
        <f aca="true" t="shared" si="2" ref="G102:G107">F102*1.2</f>
        <v>5685.599999999999</v>
      </c>
      <c r="H102" s="427"/>
    </row>
    <row r="103" spans="1:8" ht="15.75">
      <c r="A103" s="421"/>
      <c r="B103" s="36"/>
      <c r="C103" s="32" t="s">
        <v>366</v>
      </c>
      <c r="D103" s="32" t="s">
        <v>20</v>
      </c>
      <c r="E103" s="286" t="s">
        <v>21</v>
      </c>
      <c r="F103" s="214">
        <v>1526</v>
      </c>
      <c r="G103" s="600">
        <f t="shared" si="2"/>
        <v>1831.2</v>
      </c>
      <c r="H103" s="427" t="s">
        <v>54</v>
      </c>
    </row>
    <row r="104" spans="1:8" ht="15.75">
      <c r="A104" s="421"/>
      <c r="B104" s="36"/>
      <c r="C104" s="39"/>
      <c r="D104" s="39"/>
      <c r="E104" s="9" t="s">
        <v>21</v>
      </c>
      <c r="F104" s="214">
        <v>2674</v>
      </c>
      <c r="G104" s="600">
        <f>F104*1.2</f>
        <v>3208.7999999999997</v>
      </c>
      <c r="H104" s="427" t="s">
        <v>55</v>
      </c>
    </row>
    <row r="105" spans="1:8" ht="15.75">
      <c r="A105" s="421"/>
      <c r="B105" s="36"/>
      <c r="C105" s="38"/>
      <c r="D105" s="38"/>
      <c r="E105" s="9" t="s">
        <v>253</v>
      </c>
      <c r="F105" s="214">
        <v>2674</v>
      </c>
      <c r="G105" s="600">
        <f>F105*1.2</f>
        <v>3208.7999999999997</v>
      </c>
      <c r="H105" s="237"/>
    </row>
    <row r="106" spans="1:8" ht="15.75">
      <c r="A106" s="421"/>
      <c r="B106" s="36"/>
      <c r="C106" s="32" t="s">
        <v>366</v>
      </c>
      <c r="D106" s="32" t="s">
        <v>20</v>
      </c>
      <c r="E106" s="9" t="s">
        <v>21</v>
      </c>
      <c r="F106" s="214">
        <v>1212</v>
      </c>
      <c r="G106" s="600">
        <f>F106*1.2</f>
        <v>1454.3999999999999</v>
      </c>
      <c r="H106" s="427" t="s">
        <v>367</v>
      </c>
    </row>
    <row r="107" spans="1:8" ht="15.75">
      <c r="A107" s="422"/>
      <c r="B107" s="41"/>
      <c r="C107" s="38"/>
      <c r="D107" s="179"/>
      <c r="E107" s="9" t="s">
        <v>253</v>
      </c>
      <c r="F107" s="214">
        <v>2064</v>
      </c>
      <c r="G107" s="600">
        <f t="shared" si="2"/>
        <v>2476.7999999999997</v>
      </c>
      <c r="H107" s="427" t="s">
        <v>367</v>
      </c>
    </row>
    <row r="108" spans="1:8" ht="15.75">
      <c r="A108" s="549" t="s">
        <v>61</v>
      </c>
      <c r="B108" s="550"/>
      <c r="C108" s="550"/>
      <c r="D108" s="550"/>
      <c r="E108" s="550"/>
      <c r="F108" s="550"/>
      <c r="G108" s="550"/>
      <c r="H108" s="551"/>
    </row>
    <row r="109" spans="1:8" ht="15.75">
      <c r="A109" s="25" t="s">
        <v>62</v>
      </c>
      <c r="B109" s="26"/>
      <c r="C109" s="361" t="s">
        <v>63</v>
      </c>
      <c r="D109" s="362"/>
      <c r="E109" s="362"/>
      <c r="F109" s="362"/>
      <c r="G109" s="362"/>
      <c r="H109" s="363"/>
    </row>
    <row r="110" spans="1:8" ht="15.75">
      <c r="A110" s="420" t="s">
        <v>206</v>
      </c>
      <c r="B110" s="30" t="s">
        <v>64</v>
      </c>
      <c r="C110" s="32" t="s">
        <v>65</v>
      </c>
      <c r="D110" s="32" t="s">
        <v>20</v>
      </c>
      <c r="E110" s="194" t="s">
        <v>21</v>
      </c>
      <c r="F110" s="33" t="s">
        <v>22</v>
      </c>
      <c r="G110" s="34"/>
      <c r="H110" s="309"/>
    </row>
    <row r="111" spans="1:8" ht="15.75">
      <c r="A111" s="421"/>
      <c r="B111" s="36"/>
      <c r="C111" s="39"/>
      <c r="D111" s="38"/>
      <c r="E111" s="9" t="s">
        <v>253</v>
      </c>
      <c r="F111" s="33" t="s">
        <v>22</v>
      </c>
      <c r="G111" s="34"/>
      <c r="H111" s="309"/>
    </row>
    <row r="112" spans="1:8" ht="15.75">
      <c r="A112" s="422"/>
      <c r="B112" s="41"/>
      <c r="C112" s="38"/>
      <c r="D112" s="9" t="s">
        <v>25</v>
      </c>
      <c r="E112" s="9"/>
      <c r="F112" s="33" t="s">
        <v>22</v>
      </c>
      <c r="G112" s="34"/>
      <c r="H112" s="309"/>
    </row>
    <row r="113" spans="1:8" ht="15.75" customHeight="1">
      <c r="A113" s="420" t="s">
        <v>207</v>
      </c>
      <c r="B113" s="30" t="s">
        <v>66</v>
      </c>
      <c r="C113" s="32" t="s">
        <v>67</v>
      </c>
      <c r="D113" s="32" t="s">
        <v>68</v>
      </c>
      <c r="E113" s="194" t="s">
        <v>71</v>
      </c>
      <c r="F113" s="9" t="s">
        <v>72</v>
      </c>
      <c r="G113" s="600">
        <f aca="true" t="shared" si="3" ref="G113:G120">F113*1.2</f>
        <v>160.79999999999998</v>
      </c>
      <c r="H113" s="552" t="s">
        <v>763</v>
      </c>
    </row>
    <row r="114" spans="1:8" ht="15.75" customHeight="1">
      <c r="A114" s="421"/>
      <c r="B114" s="36"/>
      <c r="C114" s="39"/>
      <c r="D114" s="38"/>
      <c r="E114" s="9" t="s">
        <v>253</v>
      </c>
      <c r="F114" s="9" t="s">
        <v>74</v>
      </c>
      <c r="G114" s="600">
        <f t="shared" si="3"/>
        <v>277.2</v>
      </c>
      <c r="H114" s="565"/>
    </row>
    <row r="115" spans="1:8" ht="94.5">
      <c r="A115" s="421"/>
      <c r="B115" s="36"/>
      <c r="C115" s="39"/>
      <c r="D115" s="32" t="s">
        <v>68</v>
      </c>
      <c r="E115" s="311" t="s">
        <v>71</v>
      </c>
      <c r="F115" s="9" t="s">
        <v>368</v>
      </c>
      <c r="G115" s="600">
        <f t="shared" si="3"/>
        <v>836.4</v>
      </c>
      <c r="H115" s="602" t="s">
        <v>764</v>
      </c>
    </row>
    <row r="116" spans="1:8" ht="94.5">
      <c r="A116" s="421"/>
      <c r="B116" s="36"/>
      <c r="C116" s="39"/>
      <c r="D116" s="38"/>
      <c r="E116" s="312"/>
      <c r="F116" s="9" t="s">
        <v>369</v>
      </c>
      <c r="G116" s="600">
        <f t="shared" si="3"/>
        <v>1254</v>
      </c>
      <c r="H116" s="602" t="s">
        <v>765</v>
      </c>
    </row>
    <row r="117" spans="1:8" ht="94.5">
      <c r="A117" s="421"/>
      <c r="B117" s="36"/>
      <c r="C117" s="39"/>
      <c r="D117" s="32" t="s">
        <v>68</v>
      </c>
      <c r="E117" s="32" t="s">
        <v>253</v>
      </c>
      <c r="F117" s="9" t="s">
        <v>370</v>
      </c>
      <c r="G117" s="600">
        <f t="shared" si="3"/>
        <v>1441.2</v>
      </c>
      <c r="H117" s="602" t="s">
        <v>764</v>
      </c>
    </row>
    <row r="118" spans="1:8" ht="94.5">
      <c r="A118" s="421"/>
      <c r="B118" s="36"/>
      <c r="C118" s="39"/>
      <c r="D118" s="38"/>
      <c r="E118" s="38"/>
      <c r="F118" s="9" t="s">
        <v>371</v>
      </c>
      <c r="G118" s="600">
        <f t="shared" si="3"/>
        <v>2162.4</v>
      </c>
      <c r="H118" s="602" t="s">
        <v>765</v>
      </c>
    </row>
    <row r="119" spans="1:8" ht="63">
      <c r="A119" s="421"/>
      <c r="B119" s="36"/>
      <c r="C119" s="39"/>
      <c r="D119" s="32" t="s">
        <v>210</v>
      </c>
      <c r="E119" s="194" t="s">
        <v>25</v>
      </c>
      <c r="F119" s="214">
        <v>2112</v>
      </c>
      <c r="G119" s="600">
        <f t="shared" si="3"/>
        <v>2534.4</v>
      </c>
      <c r="H119" s="427" t="s">
        <v>766</v>
      </c>
    </row>
    <row r="120" spans="1:8" ht="63">
      <c r="A120" s="421"/>
      <c r="B120" s="36"/>
      <c r="C120" s="39"/>
      <c r="D120" s="39"/>
      <c r="E120" s="194" t="s">
        <v>25</v>
      </c>
      <c r="F120" s="214">
        <v>3168</v>
      </c>
      <c r="G120" s="600">
        <f t="shared" si="3"/>
        <v>3801.6</v>
      </c>
      <c r="H120" s="427" t="s">
        <v>767</v>
      </c>
    </row>
    <row r="121" spans="1:8" ht="47.25">
      <c r="A121" s="421"/>
      <c r="B121" s="36"/>
      <c r="C121" s="39"/>
      <c r="D121" s="9" t="s">
        <v>68</v>
      </c>
      <c r="E121" s="194" t="s">
        <v>20</v>
      </c>
      <c r="F121" s="9" t="s">
        <v>22</v>
      </c>
      <c r="G121" s="9"/>
      <c r="H121" s="603" t="s">
        <v>69</v>
      </c>
    </row>
    <row r="122" spans="1:8" ht="15.75">
      <c r="A122" s="422"/>
      <c r="B122" s="41"/>
      <c r="C122" s="38"/>
      <c r="D122" s="287" t="s">
        <v>70</v>
      </c>
      <c r="E122" s="194" t="s">
        <v>25</v>
      </c>
      <c r="F122" s="9" t="s">
        <v>22</v>
      </c>
      <c r="G122" s="9"/>
      <c r="H122" s="427"/>
    </row>
    <row r="123" spans="1:8" ht="15.75">
      <c r="A123" s="420" t="s">
        <v>213</v>
      </c>
      <c r="B123" s="30" t="s">
        <v>79</v>
      </c>
      <c r="C123" s="32" t="s">
        <v>80</v>
      </c>
      <c r="D123" s="32" t="s">
        <v>20</v>
      </c>
      <c r="E123" s="194" t="s">
        <v>21</v>
      </c>
      <c r="F123" s="33" t="s">
        <v>22</v>
      </c>
      <c r="G123" s="34"/>
      <c r="H123" s="309"/>
    </row>
    <row r="124" spans="1:8" ht="15.75">
      <c r="A124" s="421"/>
      <c r="B124" s="36"/>
      <c r="C124" s="39"/>
      <c r="D124" s="38"/>
      <c r="E124" s="9" t="s">
        <v>253</v>
      </c>
      <c r="F124" s="33" t="s">
        <v>22</v>
      </c>
      <c r="G124" s="34"/>
      <c r="H124" s="309"/>
    </row>
    <row r="125" spans="1:8" ht="15.75">
      <c r="A125" s="422"/>
      <c r="B125" s="41"/>
      <c r="C125" s="38"/>
      <c r="D125" s="287" t="s">
        <v>25</v>
      </c>
      <c r="E125" s="194"/>
      <c r="F125" s="33" t="s">
        <v>22</v>
      </c>
      <c r="G125" s="34"/>
      <c r="H125" s="309"/>
    </row>
    <row r="126" spans="1:8" ht="15.75">
      <c r="A126" s="25" t="s">
        <v>81</v>
      </c>
      <c r="B126" s="26"/>
      <c r="C126" s="361" t="s">
        <v>82</v>
      </c>
      <c r="D126" s="362"/>
      <c r="E126" s="362"/>
      <c r="F126" s="362"/>
      <c r="G126" s="362"/>
      <c r="H126" s="363"/>
    </row>
    <row r="127" spans="1:8" s="431" customFormat="1" ht="15.75">
      <c r="A127" s="320">
        <v>10</v>
      </c>
      <c r="B127" s="380" t="s">
        <v>83</v>
      </c>
      <c r="C127" s="386" t="s">
        <v>84</v>
      </c>
      <c r="D127" s="27"/>
      <c r="E127" s="27"/>
      <c r="F127" s="27"/>
      <c r="G127" s="27"/>
      <c r="H127" s="379"/>
    </row>
    <row r="128" spans="1:8" s="431" customFormat="1" ht="31.5">
      <c r="A128" s="541"/>
      <c r="B128" s="381"/>
      <c r="C128" s="428" t="s">
        <v>92</v>
      </c>
      <c r="D128" s="209" t="s">
        <v>87</v>
      </c>
      <c r="E128" s="193" t="s">
        <v>100</v>
      </c>
      <c r="F128" s="214">
        <f>197*1.06+0.18</f>
        <v>209.00000000000003</v>
      </c>
      <c r="G128" s="600">
        <f aca="true" t="shared" si="4" ref="G128:G136">F128*1.2</f>
        <v>250.8</v>
      </c>
      <c r="H128" s="429" t="s">
        <v>372</v>
      </c>
    </row>
    <row r="129" spans="1:8" s="431" customFormat="1" ht="31.5">
      <c r="A129" s="541"/>
      <c r="B129" s="381"/>
      <c r="C129" s="428" t="s">
        <v>91</v>
      </c>
      <c r="D129" s="209" t="s">
        <v>87</v>
      </c>
      <c r="E129" s="193" t="s">
        <v>100</v>
      </c>
      <c r="F129" s="214">
        <f>149*1.06+0.06</f>
        <v>158</v>
      </c>
      <c r="G129" s="600">
        <f t="shared" si="4"/>
        <v>189.6</v>
      </c>
      <c r="H129" s="521"/>
    </row>
    <row r="130" spans="1:8" s="431" customFormat="1" ht="47.25">
      <c r="A130" s="541"/>
      <c r="B130" s="381"/>
      <c r="C130" s="428" t="s">
        <v>293</v>
      </c>
      <c r="D130" s="210" t="s">
        <v>87</v>
      </c>
      <c r="E130" s="316" t="s">
        <v>21</v>
      </c>
      <c r="F130" s="216">
        <f>720*1.06-0.2</f>
        <v>763</v>
      </c>
      <c r="G130" s="600">
        <f t="shared" si="4"/>
        <v>915.6</v>
      </c>
      <c r="H130" s="521"/>
    </row>
    <row r="131" spans="1:8" s="431" customFormat="1" ht="47.25">
      <c r="A131" s="541"/>
      <c r="B131" s="381"/>
      <c r="C131" s="428" t="s">
        <v>89</v>
      </c>
      <c r="D131" s="211"/>
      <c r="E131" s="316"/>
      <c r="F131" s="216">
        <f>1261*1.06+0.34</f>
        <v>1337</v>
      </c>
      <c r="G131" s="600">
        <f t="shared" si="4"/>
        <v>1604.3999999999999</v>
      </c>
      <c r="H131" s="521"/>
    </row>
    <row r="132" spans="1:8" s="431" customFormat="1" ht="31.5">
      <c r="A132" s="541"/>
      <c r="B132" s="381"/>
      <c r="C132" s="428" t="s">
        <v>91</v>
      </c>
      <c r="D132" s="209" t="s">
        <v>87</v>
      </c>
      <c r="E132" s="194" t="s">
        <v>76</v>
      </c>
      <c r="F132" s="216">
        <f>572*1.06-0.32</f>
        <v>606</v>
      </c>
      <c r="G132" s="600">
        <f t="shared" si="4"/>
        <v>727.1999999999999</v>
      </c>
      <c r="H132" s="521"/>
    </row>
    <row r="133" spans="1:8" s="431" customFormat="1" ht="31.5">
      <c r="A133" s="541"/>
      <c r="B133" s="381"/>
      <c r="C133" s="428" t="s">
        <v>92</v>
      </c>
      <c r="D133" s="315" t="s">
        <v>87</v>
      </c>
      <c r="E133" s="316" t="s">
        <v>253</v>
      </c>
      <c r="F133" s="216">
        <f>1261*1.06+0.34</f>
        <v>1337</v>
      </c>
      <c r="G133" s="600">
        <f t="shared" si="4"/>
        <v>1604.3999999999999</v>
      </c>
      <c r="H133" s="521"/>
    </row>
    <row r="134" spans="1:8" s="431" customFormat="1" ht="31.5">
      <c r="A134" s="541"/>
      <c r="B134" s="381"/>
      <c r="C134" s="428" t="s">
        <v>91</v>
      </c>
      <c r="D134" s="315"/>
      <c r="E134" s="316"/>
      <c r="F134" s="216">
        <f>974*1.06-0.44</f>
        <v>1032</v>
      </c>
      <c r="G134" s="600">
        <f t="shared" si="4"/>
        <v>1238.3999999999999</v>
      </c>
      <c r="H134" s="554"/>
    </row>
    <row r="135" spans="1:8" s="431" customFormat="1" ht="15.75">
      <c r="A135" s="541"/>
      <c r="B135" s="381"/>
      <c r="C135" s="432" t="s">
        <v>91</v>
      </c>
      <c r="D135" s="210" t="s">
        <v>87</v>
      </c>
      <c r="E135" s="9" t="s">
        <v>21</v>
      </c>
      <c r="F135" s="216">
        <f>517*1.06-0.02</f>
        <v>548</v>
      </c>
      <c r="G135" s="600">
        <f t="shared" si="4"/>
        <v>657.6</v>
      </c>
      <c r="H135" s="429" t="s">
        <v>373</v>
      </c>
    </row>
    <row r="136" spans="1:8" s="431" customFormat="1" ht="15.75">
      <c r="A136" s="322"/>
      <c r="B136" s="382"/>
      <c r="C136" s="433"/>
      <c r="D136" s="211"/>
      <c r="E136" s="9" t="s">
        <v>253</v>
      </c>
      <c r="F136" s="216">
        <f>1035*1.06-0.1</f>
        <v>1097.0000000000002</v>
      </c>
      <c r="G136" s="600">
        <f t="shared" si="4"/>
        <v>1316.4000000000003</v>
      </c>
      <c r="H136" s="434"/>
    </row>
    <row r="137" spans="1:8" s="431" customFormat="1" ht="15.75">
      <c r="A137" s="320">
        <v>11</v>
      </c>
      <c r="B137" s="30" t="s">
        <v>93</v>
      </c>
      <c r="C137" s="384" t="s">
        <v>94</v>
      </c>
      <c r="D137" s="385"/>
      <c r="E137" s="385"/>
      <c r="F137" s="385"/>
      <c r="G137" s="386"/>
      <c r="H137" s="553"/>
    </row>
    <row r="138" spans="1:8" s="431" customFormat="1" ht="94.5">
      <c r="A138" s="541"/>
      <c r="B138" s="36"/>
      <c r="C138" s="317" t="s">
        <v>95</v>
      </c>
      <c r="D138" s="31" t="s">
        <v>96</v>
      </c>
      <c r="E138" s="31" t="s">
        <v>100</v>
      </c>
      <c r="F138" s="195">
        <f>142*1.06+0.48</f>
        <v>151</v>
      </c>
      <c r="G138" s="214">
        <f aca="true" t="shared" si="5" ref="G138:G148">F138*1.2</f>
        <v>181.2</v>
      </c>
      <c r="H138" s="427" t="s">
        <v>770</v>
      </c>
    </row>
    <row r="139" spans="1:8" s="431" customFormat="1" ht="63">
      <c r="A139" s="541"/>
      <c r="B139" s="36"/>
      <c r="C139" s="317" t="s">
        <v>375</v>
      </c>
      <c r="D139" s="37"/>
      <c r="E139" s="37"/>
      <c r="F139" s="195">
        <f>967*1.06-0.02</f>
        <v>1025</v>
      </c>
      <c r="G139" s="214">
        <f t="shared" si="5"/>
        <v>1230</v>
      </c>
      <c r="H139" s="443" t="s">
        <v>376</v>
      </c>
    </row>
    <row r="140" spans="1:8" s="431" customFormat="1" ht="15.75">
      <c r="A140" s="541"/>
      <c r="B140" s="36"/>
      <c r="C140" s="317" t="s">
        <v>95</v>
      </c>
      <c r="D140" s="315" t="s">
        <v>96</v>
      </c>
      <c r="E140" s="316" t="s">
        <v>21</v>
      </c>
      <c r="F140" s="194">
        <f>292*1.06+0.48</f>
        <v>310.00000000000006</v>
      </c>
      <c r="G140" s="214">
        <f t="shared" si="5"/>
        <v>372.00000000000006</v>
      </c>
      <c r="H140" s="429" t="s">
        <v>374</v>
      </c>
    </row>
    <row r="141" spans="1:8" s="250" customFormat="1" ht="15.75">
      <c r="A141" s="541"/>
      <c r="B141" s="36"/>
      <c r="C141" s="317" t="s">
        <v>296</v>
      </c>
      <c r="D141" s="315"/>
      <c r="E141" s="316"/>
      <c r="F141" s="216">
        <f>1973*1.06-0.38</f>
        <v>2091</v>
      </c>
      <c r="G141" s="214">
        <f t="shared" si="5"/>
        <v>2509.2</v>
      </c>
      <c r="H141" s="609"/>
    </row>
    <row r="142" spans="1:8" s="250" customFormat="1" ht="63">
      <c r="A142" s="541"/>
      <c r="B142" s="36"/>
      <c r="C142" s="317" t="s">
        <v>375</v>
      </c>
      <c r="D142" s="315"/>
      <c r="E142" s="316"/>
      <c r="F142" s="216">
        <f>1461*1.06+0.34</f>
        <v>1549</v>
      </c>
      <c r="G142" s="214">
        <f t="shared" si="5"/>
        <v>1858.8</v>
      </c>
      <c r="H142" s="443" t="s">
        <v>377</v>
      </c>
    </row>
    <row r="143" spans="1:8" s="250" customFormat="1" ht="15.75">
      <c r="A143" s="541"/>
      <c r="B143" s="36"/>
      <c r="C143" s="317" t="s">
        <v>95</v>
      </c>
      <c r="D143" s="315" t="s">
        <v>96</v>
      </c>
      <c r="E143" s="316" t="s">
        <v>24</v>
      </c>
      <c r="F143" s="216">
        <f>356*1.06-0.36</f>
        <v>377</v>
      </c>
      <c r="G143" s="214">
        <f t="shared" si="5"/>
        <v>452.4</v>
      </c>
      <c r="H143" s="429" t="s">
        <v>374</v>
      </c>
    </row>
    <row r="144" spans="1:8" s="250" customFormat="1" ht="15.75">
      <c r="A144" s="541"/>
      <c r="B144" s="36"/>
      <c r="C144" s="317" t="s">
        <v>296</v>
      </c>
      <c r="D144" s="315"/>
      <c r="E144" s="316"/>
      <c r="F144" s="216">
        <f>2259*1.06+0.46</f>
        <v>2395</v>
      </c>
      <c r="G144" s="214">
        <f t="shared" si="5"/>
        <v>2874</v>
      </c>
      <c r="H144" s="554"/>
    </row>
    <row r="145" spans="1:8" s="250" customFormat="1" ht="63">
      <c r="A145" s="541"/>
      <c r="B145" s="36"/>
      <c r="C145" s="317" t="s">
        <v>375</v>
      </c>
      <c r="D145" s="315"/>
      <c r="E145" s="316"/>
      <c r="F145" s="216">
        <f>1671*1.06-0.26</f>
        <v>1771</v>
      </c>
      <c r="G145" s="214">
        <f t="shared" si="5"/>
        <v>2125.2</v>
      </c>
      <c r="H145" s="443" t="s">
        <v>378</v>
      </c>
    </row>
    <row r="146" spans="1:8" s="250" customFormat="1" ht="15.75">
      <c r="A146" s="541"/>
      <c r="B146" s="36"/>
      <c r="C146" s="317" t="s">
        <v>95</v>
      </c>
      <c r="D146" s="315" t="s">
        <v>96</v>
      </c>
      <c r="E146" s="316" t="s">
        <v>298</v>
      </c>
      <c r="F146" s="216">
        <f>366*1.06+0.04</f>
        <v>388.00000000000006</v>
      </c>
      <c r="G146" s="214">
        <f t="shared" si="5"/>
        <v>465.6</v>
      </c>
      <c r="H146" s="429" t="s">
        <v>374</v>
      </c>
    </row>
    <row r="147" spans="1:8" s="250" customFormat="1" ht="15.75">
      <c r="A147" s="541"/>
      <c r="B147" s="36"/>
      <c r="C147" s="317" t="s">
        <v>296</v>
      </c>
      <c r="D147" s="315"/>
      <c r="E147" s="316"/>
      <c r="F147" s="216">
        <f>2323*1.06-0.38</f>
        <v>2462</v>
      </c>
      <c r="G147" s="214">
        <f t="shared" si="5"/>
        <v>2954.4</v>
      </c>
      <c r="H147" s="554"/>
    </row>
    <row r="148" spans="1:8" s="250" customFormat="1" ht="63">
      <c r="A148" s="541"/>
      <c r="B148" s="36"/>
      <c r="C148" s="317" t="s">
        <v>375</v>
      </c>
      <c r="D148" s="315"/>
      <c r="E148" s="316"/>
      <c r="F148" s="216">
        <f>1718*1.06-0.08</f>
        <v>1821.0000000000002</v>
      </c>
      <c r="G148" s="214">
        <f t="shared" si="5"/>
        <v>2185.2000000000003</v>
      </c>
      <c r="H148" s="443" t="s">
        <v>378</v>
      </c>
    </row>
    <row r="149" spans="1:8" s="250" customFormat="1" ht="15.75">
      <c r="A149" s="541"/>
      <c r="B149" s="36"/>
      <c r="C149" s="435" t="s">
        <v>95</v>
      </c>
      <c r="D149" s="210" t="s">
        <v>96</v>
      </c>
      <c r="E149" s="194" t="s">
        <v>21</v>
      </c>
      <c r="F149" s="194">
        <f>42*1.06+0.48</f>
        <v>45</v>
      </c>
      <c r="G149" s="214">
        <f>F149*1.2</f>
        <v>54</v>
      </c>
      <c r="H149" s="519" t="s">
        <v>379</v>
      </c>
    </row>
    <row r="150" spans="1:8" s="250" customFormat="1" ht="15.75">
      <c r="A150" s="541"/>
      <c r="B150" s="36"/>
      <c r="C150" s="435" t="s">
        <v>95</v>
      </c>
      <c r="D150" s="211"/>
      <c r="E150" s="9" t="s">
        <v>253</v>
      </c>
      <c r="F150" s="194">
        <f>155*1.06-0.3</f>
        <v>164</v>
      </c>
      <c r="G150" s="214">
        <f>F150*1.2</f>
        <v>196.79999999999998</v>
      </c>
      <c r="H150" s="554"/>
    </row>
    <row r="151" spans="1:8" s="250" customFormat="1" ht="126">
      <c r="A151" s="541"/>
      <c r="B151" s="36"/>
      <c r="C151" s="435" t="s">
        <v>94</v>
      </c>
      <c r="D151" s="194" t="s">
        <v>380</v>
      </c>
      <c r="E151" s="209"/>
      <c r="F151" s="194">
        <f>7.5*1.06+0.05</f>
        <v>8</v>
      </c>
      <c r="G151" s="214">
        <f>F151*1.2</f>
        <v>9.6</v>
      </c>
      <c r="H151" s="234" t="s">
        <v>381</v>
      </c>
    </row>
    <row r="152" spans="1:8" s="250" customFormat="1" ht="63">
      <c r="A152" s="322"/>
      <c r="B152" s="41"/>
      <c r="C152" s="435" t="s">
        <v>382</v>
      </c>
      <c r="D152" s="194" t="s">
        <v>380</v>
      </c>
      <c r="E152" s="209"/>
      <c r="F152" s="194">
        <f>49*1.06+0.06</f>
        <v>52.00000000000001</v>
      </c>
      <c r="G152" s="214">
        <f>F152*1.2</f>
        <v>62.400000000000006</v>
      </c>
      <c r="H152" s="234" t="s">
        <v>377</v>
      </c>
    </row>
    <row r="153" spans="1:8" s="250" customFormat="1" ht="31.5">
      <c r="A153" s="172">
        <v>12</v>
      </c>
      <c r="B153" s="30" t="s">
        <v>383</v>
      </c>
      <c r="C153" s="173" t="s">
        <v>224</v>
      </c>
      <c r="D153" s="435" t="s">
        <v>384</v>
      </c>
      <c r="E153" s="194" t="s">
        <v>302</v>
      </c>
      <c r="F153" s="216">
        <f>1230*1.06+0.2</f>
        <v>1304</v>
      </c>
      <c r="G153" s="214">
        <f>F153*1.2</f>
        <v>1564.8</v>
      </c>
      <c r="H153" s="234" t="s">
        <v>385</v>
      </c>
    </row>
    <row r="154" spans="1:8" s="250" customFormat="1" ht="31.5">
      <c r="A154" s="177"/>
      <c r="B154" s="36"/>
      <c r="C154" s="178"/>
      <c r="D154" s="435" t="s">
        <v>386</v>
      </c>
      <c r="E154" s="194" t="s">
        <v>314</v>
      </c>
      <c r="F154" s="216">
        <f>223*1.06-0.38</f>
        <v>236.00000000000003</v>
      </c>
      <c r="G154" s="214">
        <f>F154*1.2</f>
        <v>283.20000000000005</v>
      </c>
      <c r="H154" s="234" t="s">
        <v>387</v>
      </c>
    </row>
    <row r="155" spans="1:8" s="250" customFormat="1" ht="15.75">
      <c r="A155" s="177"/>
      <c r="B155" s="36"/>
      <c r="C155" s="178"/>
      <c r="D155" s="311" t="s">
        <v>305</v>
      </c>
      <c r="E155" s="311"/>
      <c r="F155" s="330">
        <f>547*1.06+0.18</f>
        <v>580</v>
      </c>
      <c r="G155" s="395">
        <f>F155*1.2</f>
        <v>696</v>
      </c>
      <c r="H155" s="519" t="s">
        <v>388</v>
      </c>
    </row>
    <row r="156" spans="1:8" s="250" customFormat="1" ht="15.75">
      <c r="A156" s="180"/>
      <c r="B156" s="41"/>
      <c r="C156" s="179"/>
      <c r="D156" s="211"/>
      <c r="E156" s="211"/>
      <c r="F156" s="211"/>
      <c r="G156" s="397"/>
      <c r="H156" s="554"/>
    </row>
    <row r="157" spans="1:8" s="250" customFormat="1" ht="15.75">
      <c r="A157" s="196">
        <v>13</v>
      </c>
      <c r="B157" s="328" t="s">
        <v>107</v>
      </c>
      <c r="C157" s="436" t="s">
        <v>308</v>
      </c>
      <c r="D157" s="436"/>
      <c r="E157" s="436"/>
      <c r="F157" s="436"/>
      <c r="G157" s="436"/>
      <c r="H157" s="234"/>
    </row>
    <row r="158" spans="1:8" s="250" customFormat="1" ht="31.5">
      <c r="A158" s="199"/>
      <c r="B158" s="30"/>
      <c r="C158" s="317" t="s">
        <v>308</v>
      </c>
      <c r="D158" s="317" t="s">
        <v>109</v>
      </c>
      <c r="E158" s="194"/>
      <c r="F158" s="194">
        <v>415</v>
      </c>
      <c r="G158" s="214">
        <f>F158*1.2</f>
        <v>498</v>
      </c>
      <c r="H158" s="325" t="s">
        <v>110</v>
      </c>
    </row>
    <row r="159" spans="1:8" s="250" customFormat="1" ht="31.5">
      <c r="A159" s="200"/>
      <c r="B159" s="41"/>
      <c r="C159" s="317" t="s">
        <v>308</v>
      </c>
      <c r="D159" s="317" t="s">
        <v>109</v>
      </c>
      <c r="E159" s="194"/>
      <c r="F159" s="194">
        <v>315</v>
      </c>
      <c r="G159" s="214">
        <f>F159*1.2</f>
        <v>378</v>
      </c>
      <c r="H159" s="325" t="s">
        <v>111</v>
      </c>
    </row>
    <row r="160" spans="1:8" s="250" customFormat="1" ht="15.75">
      <c r="A160" s="196">
        <v>14</v>
      </c>
      <c r="B160" s="383" t="s">
        <v>112</v>
      </c>
      <c r="C160" s="437" t="s">
        <v>113</v>
      </c>
      <c r="D160" s="438"/>
      <c r="E160" s="438"/>
      <c r="F160" s="438"/>
      <c r="G160" s="439"/>
      <c r="H160" s="234"/>
    </row>
    <row r="161" spans="1:8" s="250" customFormat="1" ht="31.5">
      <c r="A161" s="619"/>
      <c r="B161" s="30"/>
      <c r="C161" s="440" t="s">
        <v>113</v>
      </c>
      <c r="D161" s="317" t="s">
        <v>109</v>
      </c>
      <c r="E161" s="391"/>
      <c r="F161" s="216">
        <f>2354*1.06-0.24</f>
        <v>2495.0000000000005</v>
      </c>
      <c r="G161" s="214">
        <f>F161*1.2</f>
        <v>2994.0000000000005</v>
      </c>
      <c r="H161" s="441" t="s">
        <v>389</v>
      </c>
    </row>
    <row r="162" spans="1:8" s="250" customFormat="1" ht="15.75">
      <c r="A162" s="619"/>
      <c r="B162" s="36"/>
      <c r="C162" s="321" t="s">
        <v>113</v>
      </c>
      <c r="D162" s="225" t="s">
        <v>20</v>
      </c>
      <c r="E162" s="391" t="s">
        <v>76</v>
      </c>
      <c r="F162" s="194">
        <f>934*1.06-0.04</f>
        <v>990.0000000000001</v>
      </c>
      <c r="G162" s="214">
        <f>F162*1.2</f>
        <v>1188</v>
      </c>
      <c r="H162" s="519" t="s">
        <v>390</v>
      </c>
    </row>
    <row r="163" spans="1:8" s="250" customFormat="1" ht="15.75">
      <c r="A163" s="620"/>
      <c r="B163" s="41"/>
      <c r="C163" s="335"/>
      <c r="D163" s="225" t="s">
        <v>20</v>
      </c>
      <c r="E163" s="9" t="s">
        <v>253</v>
      </c>
      <c r="F163" s="194">
        <f>934*1.06-0.04</f>
        <v>990.0000000000001</v>
      </c>
      <c r="G163" s="214">
        <f>F163*1.2</f>
        <v>1188</v>
      </c>
      <c r="H163" s="554"/>
    </row>
    <row r="164" spans="1:8" s="250" customFormat="1" ht="31.5">
      <c r="A164" s="595">
        <v>15</v>
      </c>
      <c r="B164" s="606" t="s">
        <v>312</v>
      </c>
      <c r="C164" s="440" t="s">
        <v>391</v>
      </c>
      <c r="D164" s="225" t="s">
        <v>314</v>
      </c>
      <c r="E164" s="391"/>
      <c r="F164" s="391">
        <f>78*1.06+0.32</f>
        <v>83</v>
      </c>
      <c r="G164" s="214">
        <f>F164*1.2</f>
        <v>99.6</v>
      </c>
      <c r="H164" s="607" t="s">
        <v>392</v>
      </c>
    </row>
    <row r="165" spans="1:8" s="250" customFormat="1" ht="15.75">
      <c r="A165" s="196">
        <v>16</v>
      </c>
      <c r="B165" s="30" t="s">
        <v>231</v>
      </c>
      <c r="C165" s="169" t="s">
        <v>120</v>
      </c>
      <c r="D165" s="170"/>
      <c r="E165" s="170"/>
      <c r="F165" s="170"/>
      <c r="G165" s="168"/>
      <c r="H165" s="234"/>
    </row>
    <row r="166" spans="1:8" s="250" customFormat="1" ht="31.5">
      <c r="A166" s="200"/>
      <c r="B166" s="41"/>
      <c r="C166" s="631" t="s">
        <v>120</v>
      </c>
      <c r="D166" s="317" t="s">
        <v>20</v>
      </c>
      <c r="E166" s="194"/>
      <c r="F166" s="216">
        <f>1177*1.06+0.38</f>
        <v>1248.0000000000002</v>
      </c>
      <c r="G166" s="214">
        <f>F166*1.2</f>
        <v>1497.6000000000001</v>
      </c>
      <c r="H166" s="443" t="s">
        <v>121</v>
      </c>
    </row>
    <row r="167" spans="1:8" s="250" customFormat="1" ht="15.75">
      <c r="A167" s="204" t="s">
        <v>393</v>
      </c>
      <c r="B167" s="610"/>
      <c r="C167" s="610"/>
      <c r="D167" s="610"/>
      <c r="E167" s="610"/>
      <c r="F167" s="610"/>
      <c r="G167" s="610"/>
      <c r="H167" s="611"/>
    </row>
    <row r="168" spans="1:8" s="250" customFormat="1" ht="15.75">
      <c r="A168" s="199">
        <v>17</v>
      </c>
      <c r="B168" s="36" t="s">
        <v>316</v>
      </c>
      <c r="C168" s="173" t="s">
        <v>393</v>
      </c>
      <c r="D168" s="321" t="s">
        <v>20</v>
      </c>
      <c r="E168" s="194" t="s">
        <v>100</v>
      </c>
      <c r="F168" s="216">
        <f>1716*1.06+0.04</f>
        <v>1819</v>
      </c>
      <c r="G168" s="214">
        <f aca="true" t="shared" si="6" ref="G168:G175">F168*1.2</f>
        <v>2182.7999999999997</v>
      </c>
      <c r="H168" s="519" t="s">
        <v>394</v>
      </c>
    </row>
    <row r="169" spans="1:8" s="250" customFormat="1" ht="15.75">
      <c r="A169" s="199"/>
      <c r="B169" s="36"/>
      <c r="C169" s="178"/>
      <c r="D169" s="335"/>
      <c r="E169" s="194" t="s">
        <v>21</v>
      </c>
      <c r="F169" s="216">
        <f>2104*1.06-0.24</f>
        <v>2230.0000000000005</v>
      </c>
      <c r="G169" s="214">
        <f t="shared" si="6"/>
        <v>2676.0000000000005</v>
      </c>
      <c r="H169" s="521"/>
    </row>
    <row r="170" spans="1:8" s="250" customFormat="1" ht="15.75">
      <c r="A170" s="199"/>
      <c r="B170" s="36"/>
      <c r="C170" s="178"/>
      <c r="D170" s="335"/>
      <c r="E170" s="194" t="s">
        <v>24</v>
      </c>
      <c r="F170" s="216">
        <f>2493*1.06+0.42</f>
        <v>2643</v>
      </c>
      <c r="G170" s="214">
        <f t="shared" si="6"/>
        <v>3171.6</v>
      </c>
      <c r="H170" s="521"/>
    </row>
    <row r="171" spans="1:8" s="250" customFormat="1" ht="15.75">
      <c r="A171" s="199"/>
      <c r="B171" s="36"/>
      <c r="C171" s="179"/>
      <c r="D171" s="323"/>
      <c r="E171" s="194" t="s">
        <v>298</v>
      </c>
      <c r="F171" s="216">
        <f>2562*1.06+0.28</f>
        <v>2716.0000000000005</v>
      </c>
      <c r="G171" s="214">
        <f t="shared" si="6"/>
        <v>3259.2000000000003</v>
      </c>
      <c r="H171" s="554"/>
    </row>
    <row r="172" spans="1:8" s="250" customFormat="1" ht="15.75">
      <c r="A172" s="199"/>
      <c r="B172" s="36"/>
      <c r="C172" s="173" t="s">
        <v>393</v>
      </c>
      <c r="D172" s="321" t="s">
        <v>20</v>
      </c>
      <c r="E172" s="194" t="s">
        <v>21</v>
      </c>
      <c r="F172" s="195">
        <f>865*1.06+0.1</f>
        <v>917.0000000000001</v>
      </c>
      <c r="G172" s="214">
        <f t="shared" si="6"/>
        <v>1100.4</v>
      </c>
      <c r="H172" s="519" t="s">
        <v>395</v>
      </c>
    </row>
    <row r="173" spans="1:8" s="250" customFormat="1" ht="15.75">
      <c r="A173" s="199"/>
      <c r="B173" s="36"/>
      <c r="C173" s="179"/>
      <c r="D173" s="323"/>
      <c r="E173" s="9" t="s">
        <v>253</v>
      </c>
      <c r="F173" s="214">
        <f>1557*1.06-0.42</f>
        <v>1650</v>
      </c>
      <c r="G173" s="214">
        <f t="shared" si="6"/>
        <v>1980</v>
      </c>
      <c r="H173" s="554"/>
    </row>
    <row r="174" spans="1:8" s="250" customFormat="1" ht="63">
      <c r="A174" s="199"/>
      <c r="B174" s="36"/>
      <c r="C174" s="342" t="s">
        <v>393</v>
      </c>
      <c r="D174" s="174" t="s">
        <v>118</v>
      </c>
      <c r="E174" s="174"/>
      <c r="F174" s="555" t="s">
        <v>126</v>
      </c>
      <c r="G174" s="556"/>
      <c r="H174" s="234" t="s">
        <v>128</v>
      </c>
    </row>
    <row r="175" spans="1:8" s="250" customFormat="1" ht="31.5">
      <c r="A175" s="199"/>
      <c r="B175" s="36"/>
      <c r="C175" s="173" t="s">
        <v>393</v>
      </c>
      <c r="D175" s="321" t="s">
        <v>118</v>
      </c>
      <c r="E175" s="311"/>
      <c r="F175" s="194">
        <f>224*1.06-0.44</f>
        <v>237</v>
      </c>
      <c r="G175" s="214">
        <f t="shared" si="6"/>
        <v>284.4</v>
      </c>
      <c r="H175" s="234" t="s">
        <v>768</v>
      </c>
    </row>
    <row r="176" spans="1:8" s="250" customFormat="1" ht="15.75">
      <c r="A176" s="200"/>
      <c r="B176" s="41"/>
      <c r="C176" s="179"/>
      <c r="D176" s="323"/>
      <c r="E176" s="312"/>
      <c r="F176" s="388" t="s">
        <v>22</v>
      </c>
      <c r="G176" s="389"/>
      <c r="H176" s="234" t="s">
        <v>396</v>
      </c>
    </row>
    <row r="177" spans="1:8" s="250" customFormat="1" ht="15.75">
      <c r="A177" s="339"/>
      <c r="B177" s="383" t="s">
        <v>318</v>
      </c>
      <c r="C177" s="169" t="s">
        <v>319</v>
      </c>
      <c r="D177" s="170"/>
      <c r="E177" s="170"/>
      <c r="F177" s="170"/>
      <c r="G177" s="168"/>
      <c r="H177" s="234"/>
    </row>
    <row r="178" spans="1:8" s="250" customFormat="1" ht="47.25">
      <c r="A178" s="329">
        <v>18</v>
      </c>
      <c r="B178" s="30"/>
      <c r="C178" s="225" t="s">
        <v>397</v>
      </c>
      <c r="D178" s="317" t="s">
        <v>25</v>
      </c>
      <c r="E178" s="608" t="s">
        <v>321</v>
      </c>
      <c r="F178" s="216">
        <f>9355*1.06-0.3</f>
        <v>9916.000000000002</v>
      </c>
      <c r="G178" s="214">
        <f>F178*1.2</f>
        <v>11899.200000000003</v>
      </c>
      <c r="H178" s="234" t="s">
        <v>769</v>
      </c>
    </row>
    <row r="179" spans="1:8" s="250" customFormat="1" ht="31.5">
      <c r="A179" s="329"/>
      <c r="B179" s="36"/>
      <c r="C179" s="209" t="s">
        <v>398</v>
      </c>
      <c r="D179" s="317" t="s">
        <v>20</v>
      </c>
      <c r="E179" s="194" t="s">
        <v>321</v>
      </c>
      <c r="F179" s="216">
        <f>7930*1.06+0.2</f>
        <v>8406.000000000002</v>
      </c>
      <c r="G179" s="214">
        <f>F179*1.2</f>
        <v>10087.200000000003</v>
      </c>
      <c r="H179" s="234" t="s">
        <v>399</v>
      </c>
    </row>
    <row r="180" spans="1:8" s="250" customFormat="1" ht="15.75">
      <c r="A180" s="329"/>
      <c r="B180" s="41"/>
      <c r="C180" s="209" t="s">
        <v>400</v>
      </c>
      <c r="D180" s="317" t="s">
        <v>20</v>
      </c>
      <c r="E180" s="194" t="s">
        <v>321</v>
      </c>
      <c r="F180" s="216">
        <f>3625*1.06+0.5</f>
        <v>3843</v>
      </c>
      <c r="G180" s="214">
        <f>F180*1.2</f>
        <v>4611.599999999999</v>
      </c>
      <c r="H180" s="234" t="s">
        <v>401</v>
      </c>
    </row>
    <row r="181" spans="1:8" s="250" customFormat="1" ht="15.75">
      <c r="A181" s="402" t="s">
        <v>129</v>
      </c>
      <c r="B181" s="403"/>
      <c r="C181" s="169" t="s">
        <v>130</v>
      </c>
      <c r="D181" s="170"/>
      <c r="E181" s="170"/>
      <c r="F181" s="170"/>
      <c r="G181" s="170"/>
      <c r="H181" s="171"/>
    </row>
    <row r="182" spans="1:8" s="250" customFormat="1" ht="15.75">
      <c r="A182" s="307" t="s">
        <v>138</v>
      </c>
      <c r="B182" s="306" t="s">
        <v>132</v>
      </c>
      <c r="C182" s="175" t="s">
        <v>133</v>
      </c>
      <c r="D182" s="173" t="s">
        <v>20</v>
      </c>
      <c r="E182" s="194" t="s">
        <v>21</v>
      </c>
      <c r="F182" s="33" t="s">
        <v>22</v>
      </c>
      <c r="G182" s="34"/>
      <c r="H182" s="493"/>
    </row>
    <row r="183" spans="1:8" s="250" customFormat="1" ht="15.75">
      <c r="A183" s="307"/>
      <c r="B183" s="306"/>
      <c r="C183" s="175"/>
      <c r="D183" s="179"/>
      <c r="E183" s="9" t="s">
        <v>253</v>
      </c>
      <c r="F183" s="33" t="s">
        <v>22</v>
      </c>
      <c r="G183" s="34"/>
      <c r="H183" s="234"/>
    </row>
    <row r="184" spans="1:8" s="250" customFormat="1" ht="15.75">
      <c r="A184" s="444" t="s">
        <v>327</v>
      </c>
      <c r="B184" s="383" t="s">
        <v>136</v>
      </c>
      <c r="C184" s="186" t="s">
        <v>137</v>
      </c>
      <c r="D184" s="186" t="s">
        <v>25</v>
      </c>
      <c r="E184" s="194"/>
      <c r="F184" s="33" t="s">
        <v>22</v>
      </c>
      <c r="G184" s="34"/>
      <c r="H184" s="237" t="s">
        <v>402</v>
      </c>
    </row>
    <row r="185" spans="1:8" s="250" customFormat="1" ht="15.75">
      <c r="A185" s="337" t="s">
        <v>328</v>
      </c>
      <c r="B185" s="383" t="s">
        <v>329</v>
      </c>
      <c r="C185" s="186" t="s">
        <v>140</v>
      </c>
      <c r="D185" s="186" t="s">
        <v>20</v>
      </c>
      <c r="E185" s="387" t="s">
        <v>403</v>
      </c>
      <c r="F185" s="33" t="s">
        <v>22</v>
      </c>
      <c r="G185" s="34"/>
      <c r="H185" s="237" t="s">
        <v>402</v>
      </c>
    </row>
    <row r="186" spans="1:8" s="250" customFormat="1" ht="15.75">
      <c r="A186" s="196">
        <v>22</v>
      </c>
      <c r="B186" s="30" t="s">
        <v>142</v>
      </c>
      <c r="C186" s="173" t="s">
        <v>143</v>
      </c>
      <c r="D186" s="321" t="s">
        <v>20</v>
      </c>
      <c r="E186" s="194" t="s">
        <v>21</v>
      </c>
      <c r="F186" s="33" t="s">
        <v>22</v>
      </c>
      <c r="G186" s="34"/>
      <c r="H186" s="234"/>
    </row>
    <row r="187" spans="1:8" s="250" customFormat="1" ht="15.75">
      <c r="A187" s="200"/>
      <c r="B187" s="41"/>
      <c r="C187" s="179"/>
      <c r="D187" s="323"/>
      <c r="E187" s="9" t="s">
        <v>253</v>
      </c>
      <c r="F187" s="33" t="s">
        <v>22</v>
      </c>
      <c r="G187" s="34"/>
      <c r="H187" s="234"/>
    </row>
    <row r="188" spans="1:8" s="250" customFormat="1" ht="47.25">
      <c r="A188" s="338">
        <v>23</v>
      </c>
      <c r="B188" s="328" t="s">
        <v>144</v>
      </c>
      <c r="C188" s="174" t="s">
        <v>145</v>
      </c>
      <c r="D188" s="317" t="s">
        <v>25</v>
      </c>
      <c r="E188" s="195"/>
      <c r="F188" s="33" t="s">
        <v>22</v>
      </c>
      <c r="G188" s="34"/>
      <c r="H188" s="557"/>
    </row>
    <row r="189" spans="1:8" s="250" customFormat="1" ht="31.5">
      <c r="A189" s="338">
        <v>24</v>
      </c>
      <c r="B189" s="400" t="s">
        <v>241</v>
      </c>
      <c r="C189" s="174" t="s">
        <v>150</v>
      </c>
      <c r="D189" s="174" t="s">
        <v>151</v>
      </c>
      <c r="E189" s="174" t="s">
        <v>404</v>
      </c>
      <c r="F189" s="238">
        <v>212</v>
      </c>
      <c r="G189" s="214">
        <f>F189*1.2</f>
        <v>254.39999999999998</v>
      </c>
      <c r="H189" s="237" t="s">
        <v>244</v>
      </c>
    </row>
    <row r="190" spans="1:8" s="250" customFormat="1" ht="47.25">
      <c r="A190" s="445">
        <v>25</v>
      </c>
      <c r="B190" s="400" t="s">
        <v>154</v>
      </c>
      <c r="C190" s="223" t="s">
        <v>405</v>
      </c>
      <c r="D190" s="435" t="s">
        <v>118</v>
      </c>
      <c r="E190" s="195"/>
      <c r="F190" s="214">
        <v>2181.91</v>
      </c>
      <c r="G190" s="214">
        <f>F190*1.2</f>
        <v>2618.292</v>
      </c>
      <c r="H190" s="234"/>
    </row>
    <row r="191" spans="1:8" s="250" customFormat="1" ht="15.75">
      <c r="A191" s="196">
        <v>26</v>
      </c>
      <c r="B191" s="30" t="s">
        <v>238</v>
      </c>
      <c r="C191" s="169" t="s">
        <v>239</v>
      </c>
      <c r="D191" s="170"/>
      <c r="E191" s="170"/>
      <c r="F191" s="170"/>
      <c r="G191" s="168"/>
      <c r="H191" s="234"/>
    </row>
    <row r="192" spans="1:8" s="250" customFormat="1" ht="31.5">
      <c r="A192" s="200"/>
      <c r="B192" s="41"/>
      <c r="C192" s="174" t="s">
        <v>406</v>
      </c>
      <c r="D192" s="317" t="s">
        <v>118</v>
      </c>
      <c r="E192" s="195"/>
      <c r="F192" s="214">
        <f>5178*1.06+0.32</f>
        <v>5489</v>
      </c>
      <c r="G192" s="214">
        <f>F192*1.2</f>
        <v>6586.8</v>
      </c>
      <c r="H192" s="234" t="s">
        <v>407</v>
      </c>
    </row>
    <row r="193" spans="1:8" s="250" customFormat="1" ht="15.75">
      <c r="A193" s="204"/>
      <c r="B193" s="205"/>
      <c r="C193" s="345" t="s">
        <v>158</v>
      </c>
      <c r="D193" s="346"/>
      <c r="E193" s="346"/>
      <c r="F193" s="346"/>
      <c r="G193" s="346"/>
      <c r="H193" s="347"/>
    </row>
    <row r="194" spans="1:8" s="250" customFormat="1" ht="15.75">
      <c r="A194" s="196">
        <v>27</v>
      </c>
      <c r="B194" s="30" t="s">
        <v>159</v>
      </c>
      <c r="C194" s="210" t="s">
        <v>160</v>
      </c>
      <c r="D194" s="31" t="s">
        <v>161</v>
      </c>
      <c r="E194" s="194" t="s">
        <v>21</v>
      </c>
      <c r="F194" s="214">
        <f>1404*1.06-0.24</f>
        <v>1488</v>
      </c>
      <c r="G194" s="214">
        <f>F194*1.2</f>
        <v>1785.6</v>
      </c>
      <c r="H194" s="429" t="s">
        <v>408</v>
      </c>
    </row>
    <row r="195" spans="1:8" s="250" customFormat="1" ht="15.75">
      <c r="A195" s="200"/>
      <c r="B195" s="41"/>
      <c r="C195" s="211"/>
      <c r="D195" s="42"/>
      <c r="E195" s="194" t="s">
        <v>24</v>
      </c>
      <c r="F195" s="214">
        <f>1404*1.06-0.24</f>
        <v>1488</v>
      </c>
      <c r="G195" s="214">
        <f>F195*1.2</f>
        <v>1785.6</v>
      </c>
      <c r="H195" s="434"/>
    </row>
    <row r="196" spans="1:8" s="250" customFormat="1" ht="48" thickBot="1">
      <c r="A196" s="348">
        <v>28</v>
      </c>
      <c r="B196" s="349" t="s">
        <v>163</v>
      </c>
      <c r="C196" s="242" t="s">
        <v>164</v>
      </c>
      <c r="D196" s="350" t="s">
        <v>161</v>
      </c>
      <c r="E196" s="351"/>
      <c r="F196" s="419">
        <f>330*1.06+0.2</f>
        <v>350</v>
      </c>
      <c r="G196" s="281">
        <f>F196*1.2</f>
        <v>420</v>
      </c>
      <c r="H196" s="352" t="s">
        <v>762</v>
      </c>
    </row>
    <row r="198" spans="1:8" ht="15.75">
      <c r="A198" s="558" t="s">
        <v>166</v>
      </c>
      <c r="B198" s="250"/>
      <c r="C198" s="632"/>
      <c r="D198" s="250"/>
      <c r="E198" s="250"/>
      <c r="F198" s="250"/>
      <c r="G198" s="159"/>
      <c r="H198" s="159"/>
    </row>
    <row r="199" spans="1:8" ht="15.75">
      <c r="A199" s="558"/>
      <c r="B199" s="250"/>
      <c r="C199" s="632"/>
      <c r="D199" s="250"/>
      <c r="E199" s="250"/>
      <c r="F199" s="250"/>
      <c r="G199" s="159"/>
      <c r="H199" s="159"/>
    </row>
    <row r="200" spans="1:8" ht="15.75">
      <c r="A200" s="558" t="s">
        <v>409</v>
      </c>
      <c r="B200" s="479"/>
      <c r="C200" s="479"/>
      <c r="D200" s="250"/>
      <c r="E200" s="561" t="s">
        <v>168</v>
      </c>
      <c r="G200" s="159"/>
      <c r="H200" s="159"/>
    </row>
    <row r="201" spans="1:8" ht="15.75">
      <c r="A201" s="558"/>
      <c r="B201" s="250"/>
      <c r="C201" s="632"/>
      <c r="D201" s="250"/>
      <c r="E201" s="561"/>
      <c r="G201" s="159"/>
      <c r="H201" s="159"/>
    </row>
    <row r="202" spans="1:8" ht="15.75">
      <c r="A202" s="558" t="s">
        <v>169</v>
      </c>
      <c r="B202" s="250"/>
      <c r="C202" s="632"/>
      <c r="D202" s="250"/>
      <c r="E202" s="561" t="s">
        <v>170</v>
      </c>
      <c r="G202" s="159"/>
      <c r="H202" s="159"/>
    </row>
    <row r="203" spans="1:8" ht="15.75">
      <c r="A203" s="558"/>
      <c r="B203" s="250"/>
      <c r="C203" s="632"/>
      <c r="D203" s="250"/>
      <c r="E203" s="561"/>
      <c r="G203" s="159"/>
      <c r="H203" s="159"/>
    </row>
    <row r="204" spans="1:8" ht="15.75">
      <c r="A204" s="558" t="s">
        <v>171</v>
      </c>
      <c r="B204" s="250"/>
      <c r="C204" s="632"/>
      <c r="D204" s="250"/>
      <c r="E204" s="561" t="s">
        <v>172</v>
      </c>
      <c r="G204" s="633"/>
      <c r="H204" s="634"/>
    </row>
    <row r="205" spans="1:8" ht="15.75">
      <c r="A205" s="558"/>
      <c r="B205" s="250"/>
      <c r="C205" s="632"/>
      <c r="D205" s="250"/>
      <c r="E205" s="561"/>
      <c r="G205" s="250"/>
      <c r="H205" s="250"/>
    </row>
    <row r="206" spans="1:8" ht="15.75">
      <c r="A206" s="558" t="s">
        <v>173</v>
      </c>
      <c r="B206" s="250"/>
      <c r="C206" s="632"/>
      <c r="D206" s="250"/>
      <c r="E206" s="561" t="s">
        <v>174</v>
      </c>
      <c r="G206" s="250"/>
      <c r="H206" s="250"/>
    </row>
    <row r="207" spans="1:8" ht="15.75">
      <c r="A207" s="561"/>
      <c r="B207" s="625"/>
      <c r="C207" s="625"/>
      <c r="D207" s="250"/>
      <c r="E207" s="621"/>
      <c r="G207" s="250"/>
      <c r="H207" s="250"/>
    </row>
    <row r="208" spans="1:8" ht="15.75" customHeight="1">
      <c r="A208" s="499" t="s">
        <v>410</v>
      </c>
      <c r="B208" s="248"/>
      <c r="C208" s="248"/>
      <c r="D208" s="248"/>
      <c r="E208" s="561" t="s">
        <v>411</v>
      </c>
      <c r="G208" s="250"/>
      <c r="H208" s="250"/>
    </row>
    <row r="209" spans="4:5" ht="15.75">
      <c r="D209" s="5"/>
      <c r="E209" s="5"/>
    </row>
    <row r="210" spans="4:5" ht="15.75">
      <c r="D210" s="5"/>
      <c r="E210" s="5"/>
    </row>
  </sheetData>
  <sheetProtection/>
  <mergeCells count="192">
    <mergeCell ref="B127:B136"/>
    <mergeCell ref="A193:B193"/>
    <mergeCell ref="C193:H193"/>
    <mergeCell ref="A194:A195"/>
    <mergeCell ref="B194:B195"/>
    <mergeCell ref="C194:C195"/>
    <mergeCell ref="D194:D195"/>
    <mergeCell ref="H194:H195"/>
    <mergeCell ref="F187:G187"/>
    <mergeCell ref="F188:G188"/>
    <mergeCell ref="A191:A192"/>
    <mergeCell ref="B191:B192"/>
    <mergeCell ref="C191:G191"/>
    <mergeCell ref="F184:G184"/>
    <mergeCell ref="F185:G185"/>
    <mergeCell ref="A186:A187"/>
    <mergeCell ref="B186:B187"/>
    <mergeCell ref="C186:C187"/>
    <mergeCell ref="D186:D187"/>
    <mergeCell ref="F186:G186"/>
    <mergeCell ref="A182:A183"/>
    <mergeCell ref="B182:B183"/>
    <mergeCell ref="C182:C183"/>
    <mergeCell ref="D182:D183"/>
    <mergeCell ref="F182:G182"/>
    <mergeCell ref="F183:G183"/>
    <mergeCell ref="C177:G177"/>
    <mergeCell ref="A178:A180"/>
    <mergeCell ref="B178:B180"/>
    <mergeCell ref="A181:B181"/>
    <mergeCell ref="C181:H181"/>
    <mergeCell ref="C172:C173"/>
    <mergeCell ref="D172:D173"/>
    <mergeCell ref="H172:H173"/>
    <mergeCell ref="F174:G174"/>
    <mergeCell ref="C175:C176"/>
    <mergeCell ref="D175:D176"/>
    <mergeCell ref="E175:E176"/>
    <mergeCell ref="F176:G176"/>
    <mergeCell ref="A165:A166"/>
    <mergeCell ref="B165:B166"/>
    <mergeCell ref="C165:G165"/>
    <mergeCell ref="A167:H167"/>
    <mergeCell ref="A168:A176"/>
    <mergeCell ref="B168:B176"/>
    <mergeCell ref="C168:C171"/>
    <mergeCell ref="D168:D171"/>
    <mergeCell ref="H168:H171"/>
    <mergeCell ref="A160:A163"/>
    <mergeCell ref="C160:G160"/>
    <mergeCell ref="B161:B163"/>
    <mergeCell ref="C162:C163"/>
    <mergeCell ref="H162:H163"/>
    <mergeCell ref="G155:G156"/>
    <mergeCell ref="H155:H156"/>
    <mergeCell ref="A157:A159"/>
    <mergeCell ref="C157:G157"/>
    <mergeCell ref="B158:B159"/>
    <mergeCell ref="D149:D150"/>
    <mergeCell ref="H149:H150"/>
    <mergeCell ref="A153:A156"/>
    <mergeCell ref="B153:B156"/>
    <mergeCell ref="C153:C156"/>
    <mergeCell ref="D155:D156"/>
    <mergeCell ref="E155:E156"/>
    <mergeCell ref="F155:F156"/>
    <mergeCell ref="H140:H141"/>
    <mergeCell ref="D143:D145"/>
    <mergeCell ref="E143:E145"/>
    <mergeCell ref="H143:H144"/>
    <mergeCell ref="D146:D148"/>
    <mergeCell ref="E146:E148"/>
    <mergeCell ref="H146:H147"/>
    <mergeCell ref="C135:C136"/>
    <mergeCell ref="D135:D136"/>
    <mergeCell ref="H135:H136"/>
    <mergeCell ref="A137:A152"/>
    <mergeCell ref="B137:B152"/>
    <mergeCell ref="C137:G137"/>
    <mergeCell ref="D138:D139"/>
    <mergeCell ref="E138:E139"/>
    <mergeCell ref="D140:D142"/>
    <mergeCell ref="E140:E142"/>
    <mergeCell ref="A126:B126"/>
    <mergeCell ref="C126:H126"/>
    <mergeCell ref="A127:A136"/>
    <mergeCell ref="C127:G127"/>
    <mergeCell ref="H128:H134"/>
    <mergeCell ref="D130:D131"/>
    <mergeCell ref="E130:E131"/>
    <mergeCell ref="D133:D134"/>
    <mergeCell ref="E133:E134"/>
    <mergeCell ref="A123:A125"/>
    <mergeCell ref="B123:B125"/>
    <mergeCell ref="C123:C125"/>
    <mergeCell ref="D123:D124"/>
    <mergeCell ref="F123:G123"/>
    <mergeCell ref="F124:G124"/>
    <mergeCell ref="F125:G125"/>
    <mergeCell ref="D115:D116"/>
    <mergeCell ref="E115:E116"/>
    <mergeCell ref="D117:D118"/>
    <mergeCell ref="E117:E118"/>
    <mergeCell ref="D119:D120"/>
    <mergeCell ref="A113:A122"/>
    <mergeCell ref="B113:B122"/>
    <mergeCell ref="C113:C122"/>
    <mergeCell ref="D113:D114"/>
    <mergeCell ref="H113:H114"/>
    <mergeCell ref="A110:A112"/>
    <mergeCell ref="B110:B112"/>
    <mergeCell ref="C110:C112"/>
    <mergeCell ref="D110:D111"/>
    <mergeCell ref="F110:G110"/>
    <mergeCell ref="F111:G111"/>
    <mergeCell ref="F112:G112"/>
    <mergeCell ref="D103:D105"/>
    <mergeCell ref="C106:C107"/>
    <mergeCell ref="D106:D107"/>
    <mergeCell ref="A108:H108"/>
    <mergeCell ref="A109:B109"/>
    <mergeCell ref="C109:H109"/>
    <mergeCell ref="F97:G97"/>
    <mergeCell ref="F98:G98"/>
    <mergeCell ref="A99:A107"/>
    <mergeCell ref="B99:B107"/>
    <mergeCell ref="C99:H99"/>
    <mergeCell ref="C100:C102"/>
    <mergeCell ref="D100:D102"/>
    <mergeCell ref="C103:C105"/>
    <mergeCell ref="C75:C76"/>
    <mergeCell ref="C77:C78"/>
    <mergeCell ref="D79:E95"/>
    <mergeCell ref="A96:A98"/>
    <mergeCell ref="B96:B98"/>
    <mergeCell ref="C96:C98"/>
    <mergeCell ref="D96:D97"/>
    <mergeCell ref="F96:G96"/>
    <mergeCell ref="H96:H98"/>
    <mergeCell ref="C63:C64"/>
    <mergeCell ref="C65:C66"/>
    <mergeCell ref="C67:C68"/>
    <mergeCell ref="C69:C70"/>
    <mergeCell ref="C71:C72"/>
    <mergeCell ref="C73:C74"/>
    <mergeCell ref="C45:C46"/>
    <mergeCell ref="C47:C48"/>
    <mergeCell ref="C49:C50"/>
    <mergeCell ref="C51:C52"/>
    <mergeCell ref="C53:C54"/>
    <mergeCell ref="C55:C56"/>
    <mergeCell ref="C57:C58"/>
    <mergeCell ref="F25:G25"/>
    <mergeCell ref="A26:A95"/>
    <mergeCell ref="B26:B95"/>
    <mergeCell ref="C26:H26"/>
    <mergeCell ref="D27:D44"/>
    <mergeCell ref="E27:E44"/>
    <mergeCell ref="H27:H95"/>
    <mergeCell ref="C59:C60"/>
    <mergeCell ref="C61:C62"/>
    <mergeCell ref="A23:A25"/>
    <mergeCell ref="B23:B25"/>
    <mergeCell ref="C23:C25"/>
    <mergeCell ref="D23:D24"/>
    <mergeCell ref="F23:G23"/>
    <mergeCell ref="H23:H25"/>
    <mergeCell ref="F24:G24"/>
    <mergeCell ref="A20:A22"/>
    <mergeCell ref="B20:B22"/>
    <mergeCell ref="C20:C22"/>
    <mergeCell ref="D20:D21"/>
    <mergeCell ref="F20:G20"/>
    <mergeCell ref="H20:H22"/>
    <mergeCell ref="F21:G21"/>
    <mergeCell ref="F22:G22"/>
    <mergeCell ref="A16:B16"/>
    <mergeCell ref="C16:H16"/>
    <mergeCell ref="A17:A19"/>
    <mergeCell ref="B17:B19"/>
    <mergeCell ref="C17:C19"/>
    <mergeCell ref="D17:D18"/>
    <mergeCell ref="F17:G17"/>
    <mergeCell ref="H17:H19"/>
    <mergeCell ref="F18:G18"/>
    <mergeCell ref="F19:G19"/>
    <mergeCell ref="A9:H9"/>
    <mergeCell ref="A10:H10"/>
    <mergeCell ref="A11:H11"/>
    <mergeCell ref="A12:H12"/>
    <mergeCell ref="A13:H13"/>
    <mergeCell ref="A15:H1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80"/>
  <sheetViews>
    <sheetView zoomScale="70" zoomScaleNormal="70" zoomScalePageLayoutView="0" workbookViewId="0" topLeftCell="A1">
      <selection activeCell="A15" sqref="A15:H68"/>
    </sheetView>
  </sheetViews>
  <sheetFormatPr defaultColWidth="9.140625" defaultRowHeight="15"/>
  <cols>
    <col min="1" max="1" width="9.8515625" style="457" customWidth="1"/>
    <col min="2" max="2" width="14.57421875" style="457" customWidth="1"/>
    <col min="3" max="3" width="45.7109375" style="457" customWidth="1"/>
    <col min="4" max="4" width="19.7109375" style="458" customWidth="1"/>
    <col min="5" max="5" width="19.7109375" style="459" customWidth="1"/>
    <col min="6" max="6" width="19.7109375" style="457" customWidth="1"/>
    <col min="7" max="7" width="19.7109375" style="460" customWidth="1"/>
    <col min="8" max="8" width="93.140625" style="454" customWidth="1"/>
    <col min="9" max="16384" width="9.140625" style="461" customWidth="1"/>
  </cols>
  <sheetData>
    <row r="1" spans="1:8" s="452" customFormat="1" ht="15.75">
      <c r="A1" s="448"/>
      <c r="B1" s="449"/>
      <c r="C1" s="449"/>
      <c r="D1" s="450"/>
      <c r="E1" s="451"/>
      <c r="G1" s="453"/>
      <c r="H1" s="454"/>
    </row>
    <row r="2" spans="1:8" s="452" customFormat="1" ht="22.5">
      <c r="A2" s="448"/>
      <c r="B2" s="449"/>
      <c r="C2" s="449"/>
      <c r="D2" s="450"/>
      <c r="E2" s="451"/>
      <c r="F2" s="455"/>
      <c r="H2" s="640" t="s">
        <v>0</v>
      </c>
    </row>
    <row r="3" spans="1:8" s="452" customFormat="1" ht="20.25">
      <c r="A3" s="448"/>
      <c r="B3" s="449"/>
      <c r="C3" s="449"/>
      <c r="D3" s="450"/>
      <c r="E3" s="451"/>
      <c r="F3" s="455"/>
      <c r="H3" s="111" t="s">
        <v>1</v>
      </c>
    </row>
    <row r="4" spans="1:8" s="452" customFormat="1" ht="20.25">
      <c r="A4" s="448"/>
      <c r="B4" s="449"/>
      <c r="C4" s="449"/>
      <c r="D4" s="450"/>
      <c r="E4" s="451"/>
      <c r="F4" s="455"/>
      <c r="H4" s="113" t="s">
        <v>2</v>
      </c>
    </row>
    <row r="5" spans="1:8" s="452" customFormat="1" ht="20.25">
      <c r="A5" s="448"/>
      <c r="B5" s="449"/>
      <c r="C5" s="449"/>
      <c r="D5" s="450"/>
      <c r="E5" s="451"/>
      <c r="F5" s="455"/>
      <c r="H5" s="114"/>
    </row>
    <row r="6" spans="1:8" s="452" customFormat="1" ht="18.75">
      <c r="A6" s="448"/>
      <c r="B6" s="449"/>
      <c r="C6" s="449"/>
      <c r="D6" s="450"/>
      <c r="E6" s="451"/>
      <c r="F6" s="456"/>
      <c r="H6" s="2"/>
    </row>
    <row r="7" spans="1:8" s="452" customFormat="1" ht="20.25">
      <c r="A7" s="448"/>
      <c r="B7" s="449"/>
      <c r="C7" s="449"/>
      <c r="D7" s="450"/>
      <c r="E7" s="451"/>
      <c r="F7" s="455"/>
      <c r="H7" s="112" t="s">
        <v>3</v>
      </c>
    </row>
    <row r="8" spans="1:8" s="452" customFormat="1" ht="20.25">
      <c r="A8" s="448"/>
      <c r="B8" s="449"/>
      <c r="C8" s="449"/>
      <c r="D8" s="450"/>
      <c r="E8" s="451"/>
      <c r="F8" s="455"/>
      <c r="H8" s="3"/>
    </row>
    <row r="10" spans="1:8" ht="20.25">
      <c r="A10" s="304" t="s">
        <v>4</v>
      </c>
      <c r="B10" s="304"/>
      <c r="C10" s="304"/>
      <c r="D10" s="304"/>
      <c r="E10" s="304"/>
      <c r="F10" s="304"/>
      <c r="G10" s="304"/>
      <c r="H10" s="304"/>
    </row>
    <row r="11" spans="1:8" ht="20.25">
      <c r="A11" s="304" t="s">
        <v>773</v>
      </c>
      <c r="B11" s="304"/>
      <c r="C11" s="304"/>
      <c r="D11" s="304"/>
      <c r="E11" s="304"/>
      <c r="F11" s="304"/>
      <c r="G11" s="304"/>
      <c r="H11" s="304"/>
    </row>
    <row r="12" spans="1:8" s="462" customFormat="1" ht="20.25">
      <c r="A12" s="304" t="s">
        <v>774</v>
      </c>
      <c r="B12" s="304"/>
      <c r="C12" s="304"/>
      <c r="D12" s="304"/>
      <c r="E12" s="304"/>
      <c r="F12" s="304"/>
      <c r="G12" s="304"/>
      <c r="H12" s="304"/>
    </row>
    <row r="13" spans="1:8" s="462" customFormat="1" ht="20.25">
      <c r="A13" s="304" t="s">
        <v>5</v>
      </c>
      <c r="B13" s="304"/>
      <c r="C13" s="304"/>
      <c r="D13" s="304"/>
      <c r="E13" s="304"/>
      <c r="F13" s="304"/>
      <c r="G13" s="304"/>
      <c r="H13" s="304"/>
    </row>
    <row r="14" spans="1:8" s="462" customFormat="1" ht="21" thickBot="1">
      <c r="A14" s="463"/>
      <c r="B14" s="463"/>
      <c r="C14" s="463"/>
      <c r="D14" s="463"/>
      <c r="E14" s="463"/>
      <c r="F14" s="463"/>
      <c r="G14" s="463"/>
      <c r="H14" s="463"/>
    </row>
    <row r="15" spans="1:8" ht="47.25">
      <c r="A15" s="21" t="s">
        <v>6</v>
      </c>
      <c r="B15" s="22" t="s">
        <v>7</v>
      </c>
      <c r="C15" s="22" t="s">
        <v>8</v>
      </c>
      <c r="D15" s="22" t="s">
        <v>9</v>
      </c>
      <c r="E15" s="22" t="s">
        <v>10</v>
      </c>
      <c r="F15" s="22" t="s">
        <v>11</v>
      </c>
      <c r="G15" s="23" t="s">
        <v>12</v>
      </c>
      <c r="H15" s="24" t="s">
        <v>13</v>
      </c>
    </row>
    <row r="16" spans="1:8" s="457" customFormat="1" ht="15.75">
      <c r="A16" s="370" t="s">
        <v>14</v>
      </c>
      <c r="B16" s="27"/>
      <c r="C16" s="27"/>
      <c r="D16" s="27"/>
      <c r="E16" s="27"/>
      <c r="F16" s="27"/>
      <c r="G16" s="27"/>
      <c r="H16" s="28"/>
    </row>
    <row r="17" spans="1:8" s="457" customFormat="1" ht="15.75">
      <c r="A17" s="305" t="s">
        <v>15</v>
      </c>
      <c r="B17" s="306"/>
      <c r="C17" s="27" t="s">
        <v>177</v>
      </c>
      <c r="D17" s="27"/>
      <c r="E17" s="27"/>
      <c r="F17" s="27"/>
      <c r="G17" s="27"/>
      <c r="H17" s="28"/>
    </row>
    <row r="18" spans="1:8" s="457" customFormat="1" ht="15.75">
      <c r="A18" s="307" t="s">
        <v>17</v>
      </c>
      <c r="B18" s="306" t="s">
        <v>18</v>
      </c>
      <c r="C18" s="197" t="s">
        <v>19</v>
      </c>
      <c r="D18" s="213" t="s">
        <v>20</v>
      </c>
      <c r="E18" s="9" t="s">
        <v>21</v>
      </c>
      <c r="F18" s="213" t="s">
        <v>22</v>
      </c>
      <c r="G18" s="213"/>
      <c r="H18" s="277" t="s">
        <v>178</v>
      </c>
    </row>
    <row r="19" spans="1:8" s="457" customFormat="1" ht="15.75">
      <c r="A19" s="307"/>
      <c r="B19" s="306"/>
      <c r="C19" s="197"/>
      <c r="D19" s="213"/>
      <c r="E19" s="9" t="s">
        <v>24</v>
      </c>
      <c r="F19" s="213" t="s">
        <v>22</v>
      </c>
      <c r="G19" s="213"/>
      <c r="H19" s="277"/>
    </row>
    <row r="20" spans="1:8" s="457" customFormat="1" ht="15.75">
      <c r="A20" s="307"/>
      <c r="B20" s="306"/>
      <c r="C20" s="197"/>
      <c r="D20" s="193" t="s">
        <v>25</v>
      </c>
      <c r="E20" s="44"/>
      <c r="F20" s="213" t="s">
        <v>22</v>
      </c>
      <c r="G20" s="213"/>
      <c r="H20" s="277"/>
    </row>
    <row r="21" spans="1:8" s="457" customFormat="1" ht="15.75">
      <c r="A21" s="307" t="s">
        <v>26</v>
      </c>
      <c r="B21" s="306" t="s">
        <v>27</v>
      </c>
      <c r="C21" s="197" t="s">
        <v>28</v>
      </c>
      <c r="D21" s="213" t="s">
        <v>20</v>
      </c>
      <c r="E21" s="9" t="s">
        <v>21</v>
      </c>
      <c r="F21" s="213" t="s">
        <v>22</v>
      </c>
      <c r="G21" s="213"/>
      <c r="H21" s="277" t="s">
        <v>179</v>
      </c>
    </row>
    <row r="22" spans="1:8" s="457" customFormat="1" ht="15.75">
      <c r="A22" s="307"/>
      <c r="B22" s="306"/>
      <c r="C22" s="197"/>
      <c r="D22" s="213"/>
      <c r="E22" s="9" t="s">
        <v>24</v>
      </c>
      <c r="F22" s="213" t="s">
        <v>22</v>
      </c>
      <c r="G22" s="213"/>
      <c r="H22" s="277"/>
    </row>
    <row r="23" spans="1:8" s="457" customFormat="1" ht="15.75">
      <c r="A23" s="307"/>
      <c r="B23" s="306"/>
      <c r="C23" s="197"/>
      <c r="D23" s="193" t="s">
        <v>25</v>
      </c>
      <c r="E23" s="44"/>
      <c r="F23" s="213" t="s">
        <v>22</v>
      </c>
      <c r="G23" s="213"/>
      <c r="H23" s="277"/>
    </row>
    <row r="24" spans="1:8" s="457" customFormat="1" ht="15.75">
      <c r="A24" s="307" t="s">
        <v>30</v>
      </c>
      <c r="B24" s="306" t="s">
        <v>31</v>
      </c>
      <c r="C24" s="197" t="s">
        <v>32</v>
      </c>
      <c r="D24" s="213" t="s">
        <v>20</v>
      </c>
      <c r="E24" s="9" t="s">
        <v>21</v>
      </c>
      <c r="F24" s="213" t="s">
        <v>22</v>
      </c>
      <c r="G24" s="213"/>
      <c r="H24" s="277" t="s">
        <v>179</v>
      </c>
    </row>
    <row r="25" spans="1:8" s="457" customFormat="1" ht="15.75">
      <c r="A25" s="307"/>
      <c r="B25" s="306"/>
      <c r="C25" s="197"/>
      <c r="D25" s="213"/>
      <c r="E25" s="9" t="s">
        <v>24</v>
      </c>
      <c r="F25" s="213" t="s">
        <v>22</v>
      </c>
      <c r="G25" s="213"/>
      <c r="H25" s="277"/>
    </row>
    <row r="26" spans="1:8" s="457" customFormat="1" ht="15.75">
      <c r="A26" s="307"/>
      <c r="B26" s="306"/>
      <c r="C26" s="197"/>
      <c r="D26" s="193" t="s">
        <v>25</v>
      </c>
      <c r="E26" s="44"/>
      <c r="F26" s="213" t="s">
        <v>22</v>
      </c>
      <c r="G26" s="213"/>
      <c r="H26" s="277"/>
    </row>
    <row r="27" spans="1:8" s="457" customFormat="1" ht="15.75">
      <c r="A27" s="307" t="s">
        <v>33</v>
      </c>
      <c r="B27" s="30" t="s">
        <v>34</v>
      </c>
      <c r="C27" s="306" t="s">
        <v>35</v>
      </c>
      <c r="D27" s="306"/>
      <c r="E27" s="306"/>
      <c r="F27" s="306"/>
      <c r="G27" s="306"/>
      <c r="H27" s="310"/>
    </row>
    <row r="28" spans="1:8" s="457" customFormat="1" ht="31.5">
      <c r="A28" s="307"/>
      <c r="B28" s="36"/>
      <c r="C28" s="174" t="s">
        <v>412</v>
      </c>
      <c r="D28" s="9" t="s">
        <v>20</v>
      </c>
      <c r="E28" s="9" t="s">
        <v>21</v>
      </c>
      <c r="F28" s="276">
        <v>13100</v>
      </c>
      <c r="G28" s="276">
        <f>F28*1.2</f>
        <v>15720</v>
      </c>
      <c r="H28" s="429" t="s">
        <v>413</v>
      </c>
    </row>
    <row r="29" spans="1:8" s="457" customFormat="1" ht="31.5">
      <c r="A29" s="307"/>
      <c r="B29" s="36"/>
      <c r="C29" s="174" t="s">
        <v>414</v>
      </c>
      <c r="D29" s="9" t="s">
        <v>20</v>
      </c>
      <c r="E29" s="9" t="s">
        <v>21</v>
      </c>
      <c r="F29" s="276">
        <v>14971</v>
      </c>
      <c r="G29" s="276">
        <f>F29*1.2</f>
        <v>17965.2</v>
      </c>
      <c r="H29" s="548"/>
    </row>
    <row r="30" spans="1:8" s="457" customFormat="1" ht="31.5">
      <c r="A30" s="307"/>
      <c r="B30" s="36"/>
      <c r="C30" s="174" t="s">
        <v>415</v>
      </c>
      <c r="D30" s="9" t="s">
        <v>20</v>
      </c>
      <c r="E30" s="9" t="s">
        <v>21</v>
      </c>
      <c r="F30" s="276">
        <v>24009</v>
      </c>
      <c r="G30" s="276">
        <f>F30*1.2</f>
        <v>28810.8</v>
      </c>
      <c r="H30" s="548"/>
    </row>
    <row r="31" spans="1:8" s="457" customFormat="1" ht="31.5">
      <c r="A31" s="307"/>
      <c r="B31" s="36"/>
      <c r="C31" s="174" t="s">
        <v>416</v>
      </c>
      <c r="D31" s="9" t="s">
        <v>20</v>
      </c>
      <c r="E31" s="9" t="s">
        <v>21</v>
      </c>
      <c r="F31" s="276">
        <v>17149</v>
      </c>
      <c r="G31" s="276">
        <f>F31*1.2</f>
        <v>20578.8</v>
      </c>
      <c r="H31" s="548"/>
    </row>
    <row r="32" spans="1:8" s="457" customFormat="1" ht="31.5">
      <c r="A32" s="307"/>
      <c r="B32" s="36"/>
      <c r="C32" s="174" t="s">
        <v>417</v>
      </c>
      <c r="D32" s="9" t="s">
        <v>20</v>
      </c>
      <c r="E32" s="9" t="s">
        <v>21</v>
      </c>
      <c r="F32" s="276">
        <v>21919</v>
      </c>
      <c r="G32" s="276">
        <f>F32*1.2</f>
        <v>26302.8</v>
      </c>
      <c r="H32" s="434"/>
    </row>
    <row r="33" spans="1:8" s="457" customFormat="1" ht="15.75">
      <c r="A33" s="307"/>
      <c r="B33" s="36"/>
      <c r="C33" s="213" t="s">
        <v>203</v>
      </c>
      <c r="D33" s="9" t="s">
        <v>20</v>
      </c>
      <c r="E33" s="9" t="s">
        <v>21</v>
      </c>
      <c r="F33" s="276">
        <v>2399</v>
      </c>
      <c r="G33" s="276">
        <f>F33*1.18</f>
        <v>2830.8199999999997</v>
      </c>
      <c r="H33" s="277"/>
    </row>
    <row r="34" spans="1:8" s="457" customFormat="1" ht="15.75">
      <c r="A34" s="307"/>
      <c r="B34" s="41"/>
      <c r="C34" s="213"/>
      <c r="D34" s="9" t="s">
        <v>20</v>
      </c>
      <c r="E34" s="9" t="s">
        <v>24</v>
      </c>
      <c r="F34" s="276">
        <v>2561</v>
      </c>
      <c r="G34" s="276">
        <f>F34*1.18</f>
        <v>3021.98</v>
      </c>
      <c r="H34" s="277"/>
    </row>
    <row r="35" spans="1:8" s="457" customFormat="1" ht="15.75">
      <c r="A35" s="307" t="s">
        <v>50</v>
      </c>
      <c r="B35" s="328" t="s">
        <v>51</v>
      </c>
      <c r="C35" s="306" t="s">
        <v>418</v>
      </c>
      <c r="D35" s="306"/>
      <c r="E35" s="306"/>
      <c r="F35" s="306"/>
      <c r="G35" s="306"/>
      <c r="H35" s="310"/>
    </row>
    <row r="36" spans="1:8" s="457" customFormat="1" ht="63">
      <c r="A36" s="307"/>
      <c r="B36" s="430"/>
      <c r="C36" s="1" t="s">
        <v>53</v>
      </c>
      <c r="D36" s="1" t="s">
        <v>20</v>
      </c>
      <c r="E36" s="1" t="s">
        <v>21</v>
      </c>
      <c r="F36" s="271">
        <v>6048</v>
      </c>
      <c r="G36" s="271">
        <f>F36*1.2</f>
        <v>7257.599999999999</v>
      </c>
      <c r="H36" s="745" t="s">
        <v>54</v>
      </c>
    </row>
    <row r="37" spans="1:8" s="457" customFormat="1" ht="63">
      <c r="A37" s="307"/>
      <c r="B37" s="430"/>
      <c r="C37" s="1" t="s">
        <v>56</v>
      </c>
      <c r="D37" s="1" t="s">
        <v>20</v>
      </c>
      <c r="E37" s="1" t="s">
        <v>21</v>
      </c>
      <c r="F37" s="271">
        <v>4158</v>
      </c>
      <c r="G37" s="271">
        <f>F37*1.2</f>
        <v>4989.599999999999</v>
      </c>
      <c r="H37" s="745" t="s">
        <v>54</v>
      </c>
    </row>
    <row r="38" spans="1:8" s="457" customFormat="1" ht="15.75">
      <c r="A38" s="746" t="s">
        <v>58</v>
      </c>
      <c r="B38" s="464" t="s">
        <v>59</v>
      </c>
      <c r="C38" s="272" t="s">
        <v>60</v>
      </c>
      <c r="D38" s="272" t="s">
        <v>20</v>
      </c>
      <c r="E38" s="1" t="s">
        <v>21</v>
      </c>
      <c r="F38" s="272" t="s">
        <v>22</v>
      </c>
      <c r="G38" s="272"/>
      <c r="H38" s="273"/>
    </row>
    <row r="39" spans="1:8" s="457" customFormat="1" ht="15.75">
      <c r="A39" s="746"/>
      <c r="B39" s="464"/>
      <c r="C39" s="272"/>
      <c r="D39" s="272"/>
      <c r="E39" s="1" t="s">
        <v>24</v>
      </c>
      <c r="F39" s="272" t="s">
        <v>22</v>
      </c>
      <c r="G39" s="272"/>
      <c r="H39" s="273"/>
    </row>
    <row r="40" spans="1:8" s="457" customFormat="1" ht="15.75">
      <c r="A40" s="746"/>
      <c r="B40" s="464"/>
      <c r="C40" s="272"/>
      <c r="D40" s="1" t="s">
        <v>25</v>
      </c>
      <c r="E40" s="1" t="s">
        <v>25</v>
      </c>
      <c r="F40" s="272" t="s">
        <v>22</v>
      </c>
      <c r="G40" s="272"/>
      <c r="H40" s="273"/>
    </row>
    <row r="41" spans="1:8" s="457" customFormat="1" ht="15.75">
      <c r="A41" s="305" t="s">
        <v>61</v>
      </c>
      <c r="B41" s="306"/>
      <c r="C41" s="306"/>
      <c r="D41" s="306"/>
      <c r="E41" s="306"/>
      <c r="F41" s="306"/>
      <c r="G41" s="306"/>
      <c r="H41" s="310"/>
    </row>
    <row r="42" spans="1:8" s="457" customFormat="1" ht="15.75">
      <c r="A42" s="305" t="s">
        <v>62</v>
      </c>
      <c r="B42" s="306"/>
      <c r="C42" s="306" t="s">
        <v>63</v>
      </c>
      <c r="D42" s="306"/>
      <c r="E42" s="306"/>
      <c r="F42" s="306"/>
      <c r="G42" s="306"/>
      <c r="H42" s="310"/>
    </row>
    <row r="43" spans="1:8" s="457" customFormat="1" ht="15.75">
      <c r="A43" s="307" t="s">
        <v>206</v>
      </c>
      <c r="B43" s="306" t="s">
        <v>284</v>
      </c>
      <c r="C43" s="213" t="s">
        <v>65</v>
      </c>
      <c r="D43" s="213" t="s">
        <v>20</v>
      </c>
      <c r="E43" s="194" t="s">
        <v>21</v>
      </c>
      <c r="F43" s="213" t="s">
        <v>22</v>
      </c>
      <c r="G43" s="213"/>
      <c r="H43" s="277"/>
    </row>
    <row r="44" spans="1:8" s="457" customFormat="1" ht="15.75">
      <c r="A44" s="307"/>
      <c r="B44" s="306"/>
      <c r="C44" s="213"/>
      <c r="D44" s="213"/>
      <c r="E44" s="194" t="s">
        <v>24</v>
      </c>
      <c r="F44" s="213" t="s">
        <v>22</v>
      </c>
      <c r="G44" s="213"/>
      <c r="H44" s="277"/>
    </row>
    <row r="45" spans="1:8" s="457" customFormat="1" ht="15.75">
      <c r="A45" s="307"/>
      <c r="B45" s="306"/>
      <c r="C45" s="213"/>
      <c r="D45" s="9" t="s">
        <v>25</v>
      </c>
      <c r="E45" s="44"/>
      <c r="F45" s="213" t="s">
        <v>22</v>
      </c>
      <c r="G45" s="213"/>
      <c r="H45" s="277"/>
    </row>
    <row r="46" spans="1:8" s="457" customFormat="1" ht="15.75">
      <c r="A46" s="420" t="s">
        <v>207</v>
      </c>
      <c r="B46" s="30" t="s">
        <v>66</v>
      </c>
      <c r="C46" s="32" t="s">
        <v>67</v>
      </c>
      <c r="D46" s="213" t="s">
        <v>68</v>
      </c>
      <c r="E46" s="194" t="s">
        <v>71</v>
      </c>
      <c r="F46" s="271">
        <v>134</v>
      </c>
      <c r="G46" s="271">
        <f aca="true" t="shared" si="0" ref="G46:G53">F46*1.2</f>
        <v>160.79999999999998</v>
      </c>
      <c r="H46" s="747" t="s">
        <v>73</v>
      </c>
    </row>
    <row r="47" spans="1:8" s="457" customFormat="1" ht="15.75">
      <c r="A47" s="421"/>
      <c r="B47" s="36"/>
      <c r="C47" s="39"/>
      <c r="D47" s="213"/>
      <c r="E47" s="194" t="s">
        <v>24</v>
      </c>
      <c r="F47" s="274">
        <v>231</v>
      </c>
      <c r="G47" s="271">
        <f t="shared" si="0"/>
        <v>277.2</v>
      </c>
      <c r="H47" s="684"/>
    </row>
    <row r="48" spans="1:8" s="457" customFormat="1" ht="15.75">
      <c r="A48" s="421"/>
      <c r="B48" s="36"/>
      <c r="C48" s="39"/>
      <c r="D48" s="9" t="s">
        <v>68</v>
      </c>
      <c r="E48" s="194" t="s">
        <v>21</v>
      </c>
      <c r="F48" s="274">
        <v>697</v>
      </c>
      <c r="G48" s="271">
        <f t="shared" si="0"/>
        <v>836.4</v>
      </c>
      <c r="H48" s="747" t="s">
        <v>75</v>
      </c>
    </row>
    <row r="49" spans="1:8" s="457" customFormat="1" ht="15.75">
      <c r="A49" s="421"/>
      <c r="B49" s="36"/>
      <c r="C49" s="39"/>
      <c r="D49" s="9" t="s">
        <v>68</v>
      </c>
      <c r="E49" s="194" t="s">
        <v>24</v>
      </c>
      <c r="F49" s="274">
        <v>1201</v>
      </c>
      <c r="G49" s="271">
        <f t="shared" si="0"/>
        <v>1441.2</v>
      </c>
      <c r="H49" s="748"/>
    </row>
    <row r="50" spans="1:8" s="457" customFormat="1" ht="15.75">
      <c r="A50" s="421"/>
      <c r="B50" s="36"/>
      <c r="C50" s="39"/>
      <c r="D50" s="9" t="s">
        <v>68</v>
      </c>
      <c r="E50" s="194" t="s">
        <v>21</v>
      </c>
      <c r="F50" s="274">
        <v>1045</v>
      </c>
      <c r="G50" s="271">
        <f t="shared" si="0"/>
        <v>1254</v>
      </c>
      <c r="H50" s="749" t="s">
        <v>77</v>
      </c>
    </row>
    <row r="51" spans="1:8" s="313" customFormat="1" ht="15.75">
      <c r="A51" s="421"/>
      <c r="B51" s="36"/>
      <c r="C51" s="39"/>
      <c r="D51" s="9" t="s">
        <v>68</v>
      </c>
      <c r="E51" s="194" t="s">
        <v>24</v>
      </c>
      <c r="F51" s="274">
        <v>1802</v>
      </c>
      <c r="G51" s="271">
        <f t="shared" si="0"/>
        <v>2162.4</v>
      </c>
      <c r="H51" s="750"/>
    </row>
    <row r="52" spans="1:8" s="313" customFormat="1" ht="63">
      <c r="A52" s="421"/>
      <c r="B52" s="36"/>
      <c r="C52" s="39"/>
      <c r="D52" s="213" t="s">
        <v>210</v>
      </c>
      <c r="E52" s="194" t="s">
        <v>25</v>
      </c>
      <c r="F52" s="275">
        <v>2112</v>
      </c>
      <c r="G52" s="271">
        <f t="shared" si="0"/>
        <v>2534.4</v>
      </c>
      <c r="H52" s="751" t="s">
        <v>211</v>
      </c>
    </row>
    <row r="53" spans="1:8" s="313" customFormat="1" ht="63">
      <c r="A53" s="421"/>
      <c r="B53" s="36"/>
      <c r="C53" s="39"/>
      <c r="D53" s="213"/>
      <c r="E53" s="194" t="s">
        <v>25</v>
      </c>
      <c r="F53" s="275">
        <v>3168</v>
      </c>
      <c r="G53" s="271">
        <f t="shared" si="0"/>
        <v>3801.6</v>
      </c>
      <c r="H53" s="751" t="s">
        <v>212</v>
      </c>
    </row>
    <row r="54" spans="1:8" s="313" customFormat="1" ht="47.25">
      <c r="A54" s="421"/>
      <c r="B54" s="36"/>
      <c r="C54" s="39"/>
      <c r="D54" s="1" t="s">
        <v>68</v>
      </c>
      <c r="E54" s="263" t="s">
        <v>20</v>
      </c>
      <c r="F54" s="1" t="s">
        <v>22</v>
      </c>
      <c r="G54" s="1"/>
      <c r="H54" s="642" t="s">
        <v>69</v>
      </c>
    </row>
    <row r="55" spans="1:8" s="313" customFormat="1" ht="15.75">
      <c r="A55" s="422"/>
      <c r="B55" s="41"/>
      <c r="C55" s="38"/>
      <c r="D55" s="467" t="s">
        <v>70</v>
      </c>
      <c r="E55" s="263" t="s">
        <v>25</v>
      </c>
      <c r="F55" s="1" t="s">
        <v>22</v>
      </c>
      <c r="G55" s="1"/>
      <c r="H55" s="643"/>
    </row>
    <row r="56" spans="1:8" s="457" customFormat="1" ht="15.75">
      <c r="A56" s="305" t="s">
        <v>81</v>
      </c>
      <c r="B56" s="306"/>
      <c r="C56" s="306" t="s">
        <v>82</v>
      </c>
      <c r="D56" s="306"/>
      <c r="E56" s="306"/>
      <c r="F56" s="306"/>
      <c r="G56" s="306"/>
      <c r="H56" s="310"/>
    </row>
    <row r="57" spans="1:8" s="313" customFormat="1" ht="31.5">
      <c r="A57" s="314">
        <v>9</v>
      </c>
      <c r="B57" s="381" t="s">
        <v>83</v>
      </c>
      <c r="C57" s="186" t="s">
        <v>84</v>
      </c>
      <c r="D57" s="174" t="s">
        <v>87</v>
      </c>
      <c r="E57" s="194" t="s">
        <v>21</v>
      </c>
      <c r="F57" s="216">
        <v>945</v>
      </c>
      <c r="G57" s="195">
        <f>F57*1.2</f>
        <v>1134</v>
      </c>
      <c r="H57" s="427" t="s">
        <v>419</v>
      </c>
    </row>
    <row r="58" spans="1:8" s="313" customFormat="1" ht="31.5">
      <c r="A58" s="314"/>
      <c r="B58" s="381"/>
      <c r="C58" s="193" t="s">
        <v>84</v>
      </c>
      <c r="D58" s="174" t="s">
        <v>87</v>
      </c>
      <c r="E58" s="194" t="s">
        <v>21</v>
      </c>
      <c r="F58" s="216">
        <v>945</v>
      </c>
      <c r="G58" s="195">
        <f>F58*1.2</f>
        <v>1134</v>
      </c>
      <c r="H58" s="427" t="s">
        <v>420</v>
      </c>
    </row>
    <row r="59" spans="1:8" s="313" customFormat="1" ht="126">
      <c r="A59" s="752">
        <v>10</v>
      </c>
      <c r="B59" s="328" t="s">
        <v>93</v>
      </c>
      <c r="C59" s="174" t="s">
        <v>94</v>
      </c>
      <c r="D59" s="209" t="s">
        <v>96</v>
      </c>
      <c r="E59" s="194" t="s">
        <v>21</v>
      </c>
      <c r="F59" s="468">
        <v>124</v>
      </c>
      <c r="G59" s="195">
        <f>F59*1.2</f>
        <v>148.79999999999998</v>
      </c>
      <c r="H59" s="234" t="s">
        <v>775</v>
      </c>
    </row>
    <row r="60" spans="1:8" s="318" customFormat="1" ht="31.5">
      <c r="A60" s="327">
        <v>11</v>
      </c>
      <c r="B60" s="328" t="s">
        <v>107</v>
      </c>
      <c r="C60" s="317" t="s">
        <v>421</v>
      </c>
      <c r="D60" s="317" t="s">
        <v>109</v>
      </c>
      <c r="E60" s="195" t="s">
        <v>105</v>
      </c>
      <c r="F60" s="194">
        <v>468</v>
      </c>
      <c r="G60" s="195">
        <f>F60*1.2</f>
        <v>561.6</v>
      </c>
      <c r="H60" s="605" t="s">
        <v>422</v>
      </c>
    </row>
    <row r="61" spans="1:8" s="318" customFormat="1" ht="63">
      <c r="A61" s="753">
        <v>12</v>
      </c>
      <c r="B61" s="328" t="s">
        <v>423</v>
      </c>
      <c r="C61" s="317" t="s">
        <v>393</v>
      </c>
      <c r="D61" s="228" t="s">
        <v>118</v>
      </c>
      <c r="E61" s="228"/>
      <c r="F61" s="644" t="s">
        <v>126</v>
      </c>
      <c r="G61" s="645"/>
      <c r="H61" s="646" t="s">
        <v>128</v>
      </c>
    </row>
    <row r="62" spans="1:8" s="318" customFormat="1" ht="15.75">
      <c r="A62" s="25" t="s">
        <v>129</v>
      </c>
      <c r="B62" s="26"/>
      <c r="C62" s="169" t="s">
        <v>130</v>
      </c>
      <c r="D62" s="170"/>
      <c r="E62" s="170"/>
      <c r="F62" s="170"/>
      <c r="G62" s="170"/>
      <c r="H62" s="171"/>
    </row>
    <row r="63" spans="1:8" s="318" customFormat="1" ht="31.5">
      <c r="A63" s="339">
        <v>13</v>
      </c>
      <c r="B63" s="328" t="s">
        <v>329</v>
      </c>
      <c r="C63" s="174" t="s">
        <v>330</v>
      </c>
      <c r="D63" s="174" t="s">
        <v>20</v>
      </c>
      <c r="E63" s="195" t="s">
        <v>105</v>
      </c>
      <c r="F63" s="411" t="s">
        <v>22</v>
      </c>
      <c r="G63" s="412"/>
      <c r="H63" s="234" t="s">
        <v>424</v>
      </c>
    </row>
    <row r="64" spans="1:8" s="318" customFormat="1" ht="15.75">
      <c r="A64" s="445"/>
      <c r="B64" s="30" t="s">
        <v>142</v>
      </c>
      <c r="C64" s="173" t="s">
        <v>143</v>
      </c>
      <c r="D64" s="321" t="s">
        <v>20</v>
      </c>
      <c r="E64" s="194" t="s">
        <v>21</v>
      </c>
      <c r="F64" s="404" t="s">
        <v>22</v>
      </c>
      <c r="G64" s="405"/>
      <c r="H64" s="519" t="s">
        <v>425</v>
      </c>
    </row>
    <row r="65" spans="1:8" s="318" customFormat="1" ht="15.75">
      <c r="A65" s="442">
        <v>14</v>
      </c>
      <c r="B65" s="41"/>
      <c r="C65" s="179"/>
      <c r="D65" s="323"/>
      <c r="E65" s="195" t="s">
        <v>24</v>
      </c>
      <c r="F65" s="407"/>
      <c r="G65" s="408"/>
      <c r="H65" s="554"/>
    </row>
    <row r="66" spans="1:8" s="318" customFormat="1" ht="15.75">
      <c r="A66" s="754"/>
      <c r="B66" s="469" t="s">
        <v>241</v>
      </c>
      <c r="C66" s="210" t="s">
        <v>242</v>
      </c>
      <c r="D66" s="174"/>
      <c r="E66" s="194"/>
      <c r="F66" s="174"/>
      <c r="G66" s="195"/>
      <c r="H66" s="234"/>
    </row>
    <row r="67" spans="1:8" s="318" customFormat="1" ht="31.5">
      <c r="A67" s="338">
        <v>15</v>
      </c>
      <c r="B67" s="469"/>
      <c r="C67" s="211"/>
      <c r="D67" s="174" t="s">
        <v>151</v>
      </c>
      <c r="E67" s="194" t="s">
        <v>21</v>
      </c>
      <c r="F67" s="174">
        <v>212</v>
      </c>
      <c r="G67" s="195">
        <f>F67*1.2</f>
        <v>254.39999999999998</v>
      </c>
      <c r="H67" s="237" t="s">
        <v>244</v>
      </c>
    </row>
    <row r="68" spans="1:8" s="318" customFormat="1" ht="48" thickBot="1">
      <c r="A68" s="348">
        <v>16</v>
      </c>
      <c r="B68" s="755" t="s">
        <v>154</v>
      </c>
      <c r="C68" s="756" t="s">
        <v>155</v>
      </c>
      <c r="D68" s="757" t="s">
        <v>118</v>
      </c>
      <c r="E68" s="280" t="s">
        <v>105</v>
      </c>
      <c r="F68" s="281">
        <v>2181.91</v>
      </c>
      <c r="G68" s="281">
        <f>F68*1.2</f>
        <v>2618.292</v>
      </c>
      <c r="H68" s="758"/>
    </row>
    <row r="69" spans="1:8" ht="15.75">
      <c r="A69" s="465"/>
      <c r="B69" s="465"/>
      <c r="C69" s="465"/>
      <c r="D69" s="470"/>
      <c r="E69" s="471"/>
      <c r="F69" s="465"/>
      <c r="G69" s="472"/>
      <c r="H69" s="473"/>
    </row>
    <row r="70" spans="1:8" ht="15.75">
      <c r="A70" s="558" t="s">
        <v>248</v>
      </c>
      <c r="B70" s="558"/>
      <c r="C70" s="558"/>
      <c r="D70" s="250"/>
      <c r="E70" s="250"/>
      <c r="F70" s="465"/>
      <c r="G70" s="472"/>
      <c r="H70" s="473"/>
    </row>
    <row r="71" spans="1:8" ht="15.75">
      <c r="A71" s="558"/>
      <c r="B71" s="558"/>
      <c r="C71" s="558"/>
      <c r="D71" s="253"/>
      <c r="E71" s="250"/>
      <c r="F71" s="466"/>
      <c r="G71" s="596"/>
      <c r="H71" s="447"/>
    </row>
    <row r="72" spans="1:8" ht="15.75">
      <c r="A72" s="558" t="s">
        <v>409</v>
      </c>
      <c r="B72" s="558"/>
      <c r="C72" s="558"/>
      <c r="D72" s="253"/>
      <c r="E72" s="561" t="s">
        <v>168</v>
      </c>
      <c r="F72" s="466"/>
      <c r="G72" s="596"/>
      <c r="H72" s="447"/>
    </row>
    <row r="73" spans="1:8" ht="15.75">
      <c r="A73" s="558"/>
      <c r="B73" s="558"/>
      <c r="C73" s="558"/>
      <c r="D73" s="253"/>
      <c r="E73" s="250"/>
      <c r="F73" s="466"/>
      <c r="G73" s="596"/>
      <c r="H73" s="447"/>
    </row>
    <row r="74" spans="1:8" ht="15.75">
      <c r="A74" s="558" t="s">
        <v>169</v>
      </c>
      <c r="B74" s="558"/>
      <c r="C74" s="558"/>
      <c r="D74" s="253"/>
      <c r="E74" s="561" t="s">
        <v>170</v>
      </c>
      <c r="F74" s="466"/>
      <c r="G74" s="596"/>
      <c r="H74" s="447"/>
    </row>
    <row r="75" spans="1:8" ht="15.75">
      <c r="A75" s="558"/>
      <c r="B75" s="558"/>
      <c r="C75" s="558"/>
      <c r="D75" s="253"/>
      <c r="E75" s="250"/>
      <c r="F75" s="431"/>
      <c r="G75" s="446"/>
      <c r="H75" s="447"/>
    </row>
    <row r="76" spans="1:8" ht="15.75">
      <c r="A76" s="558" t="s">
        <v>171</v>
      </c>
      <c r="B76" s="558"/>
      <c r="C76" s="558"/>
      <c r="D76" s="253"/>
      <c r="E76" s="561" t="s">
        <v>172</v>
      </c>
      <c r="F76" s="612"/>
      <c r="G76" s="647"/>
      <c r="H76" s="648"/>
    </row>
    <row r="77" spans="1:8" ht="15.75">
      <c r="A77" s="558"/>
      <c r="B77" s="558"/>
      <c r="C77" s="558"/>
      <c r="D77" s="253"/>
      <c r="E77" s="250"/>
      <c r="F77" s="612"/>
      <c r="G77" s="647"/>
      <c r="H77" s="648"/>
    </row>
    <row r="78" spans="1:8" ht="15.75">
      <c r="A78" s="558" t="s">
        <v>173</v>
      </c>
      <c r="B78" s="558"/>
      <c r="C78" s="558"/>
      <c r="D78" s="253"/>
      <c r="E78" s="561" t="s">
        <v>174</v>
      </c>
      <c r="F78" s="474"/>
      <c r="G78" s="359"/>
      <c r="H78" s="360"/>
    </row>
    <row r="79" spans="1:8" ht="15.75">
      <c r="A79" s="558"/>
      <c r="B79" s="558"/>
      <c r="C79" s="558"/>
      <c r="D79" s="465"/>
      <c r="E79" s="465"/>
      <c r="F79" s="465"/>
      <c r="G79" s="472"/>
      <c r="H79" s="473"/>
    </row>
    <row r="80" spans="1:8" ht="15.75">
      <c r="A80" s="558" t="s">
        <v>426</v>
      </c>
      <c r="B80" s="558"/>
      <c r="C80" s="558"/>
      <c r="D80" s="431"/>
      <c r="E80" s="648" t="s">
        <v>427</v>
      </c>
      <c r="F80" s="612"/>
      <c r="G80" s="647"/>
      <c r="H80" s="648"/>
    </row>
  </sheetData>
  <sheetProtection/>
  <mergeCells count="82">
    <mergeCell ref="B66:B67"/>
    <mergeCell ref="C66:C67"/>
    <mergeCell ref="F61:G61"/>
    <mergeCell ref="A62:B62"/>
    <mergeCell ref="C62:H62"/>
    <mergeCell ref="F63:G63"/>
    <mergeCell ref="B64:B65"/>
    <mergeCell ref="C64:C65"/>
    <mergeCell ref="D64:D65"/>
    <mergeCell ref="F64:G65"/>
    <mergeCell ref="H64:H65"/>
    <mergeCell ref="H50:H51"/>
    <mergeCell ref="D52:D53"/>
    <mergeCell ref="A56:B56"/>
    <mergeCell ref="C56:H56"/>
    <mergeCell ref="A57:A58"/>
    <mergeCell ref="B57:B58"/>
    <mergeCell ref="F44:G44"/>
    <mergeCell ref="F45:G45"/>
    <mergeCell ref="A46:A55"/>
    <mergeCell ref="B46:B55"/>
    <mergeCell ref="C46:C55"/>
    <mergeCell ref="D46:D47"/>
    <mergeCell ref="H46:H47"/>
    <mergeCell ref="H48:H49"/>
    <mergeCell ref="A43:A45"/>
    <mergeCell ref="B43:B45"/>
    <mergeCell ref="C43:C45"/>
    <mergeCell ref="D43:D44"/>
    <mergeCell ref="F43:G43"/>
    <mergeCell ref="H43:H45"/>
    <mergeCell ref="F39:G39"/>
    <mergeCell ref="F40:G40"/>
    <mergeCell ref="A41:H41"/>
    <mergeCell ref="A42:B42"/>
    <mergeCell ref="C42:H42"/>
    <mergeCell ref="A38:A40"/>
    <mergeCell ref="B38:B40"/>
    <mergeCell ref="C38:C40"/>
    <mergeCell ref="D38:D39"/>
    <mergeCell ref="F38:G38"/>
    <mergeCell ref="H38:H40"/>
    <mergeCell ref="H28:H32"/>
    <mergeCell ref="C33:C34"/>
    <mergeCell ref="H33:H34"/>
    <mergeCell ref="A35:A37"/>
    <mergeCell ref="C35:H35"/>
    <mergeCell ref="F25:G25"/>
    <mergeCell ref="F26:G26"/>
    <mergeCell ref="A27:A34"/>
    <mergeCell ref="B27:B34"/>
    <mergeCell ref="C27:H27"/>
    <mergeCell ref="F22:G22"/>
    <mergeCell ref="F23:G23"/>
    <mergeCell ref="A24:A26"/>
    <mergeCell ref="B24:B26"/>
    <mergeCell ref="C24:C26"/>
    <mergeCell ref="D24:D25"/>
    <mergeCell ref="F24:G24"/>
    <mergeCell ref="H24:H26"/>
    <mergeCell ref="A21:A23"/>
    <mergeCell ref="B21:B23"/>
    <mergeCell ref="C21:C23"/>
    <mergeCell ref="D21:D22"/>
    <mergeCell ref="F21:G21"/>
    <mergeCell ref="H21:H23"/>
    <mergeCell ref="A18:A20"/>
    <mergeCell ref="B18:B20"/>
    <mergeCell ref="C18:C20"/>
    <mergeCell ref="D18:D19"/>
    <mergeCell ref="F18:G18"/>
    <mergeCell ref="H18:H20"/>
    <mergeCell ref="F19:G19"/>
    <mergeCell ref="F20:G20"/>
    <mergeCell ref="A11:H11"/>
    <mergeCell ref="A12:H12"/>
    <mergeCell ref="A13:H13"/>
    <mergeCell ref="A14:H14"/>
    <mergeCell ref="A16:H16"/>
    <mergeCell ref="A17:B17"/>
    <mergeCell ref="C17:H17"/>
    <mergeCell ref="A10:H10"/>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I173"/>
  <sheetViews>
    <sheetView zoomScale="70" zoomScaleNormal="70" zoomScalePageLayoutView="0" workbookViewId="0" topLeftCell="A1">
      <selection activeCell="P18" sqref="P18"/>
    </sheetView>
  </sheetViews>
  <sheetFormatPr defaultColWidth="9.140625" defaultRowHeight="15"/>
  <cols>
    <col min="1" max="1" width="10.7109375" style="250" customWidth="1"/>
    <col min="2" max="2" width="14.28125" style="479" customWidth="1"/>
    <col min="3" max="3" width="50.00390625" style="250" customWidth="1"/>
    <col min="4" max="5" width="18.00390625" style="250" customWidth="1"/>
    <col min="6" max="6" width="18.00390625" style="481" customWidth="1"/>
    <col min="7" max="7" width="18.00390625" style="159" customWidth="1"/>
    <col min="8" max="8" width="94.28125" style="150" customWidth="1"/>
    <col min="9" max="16384" width="9.140625" style="318" customWidth="1"/>
  </cols>
  <sheetData>
    <row r="2" spans="1:9" ht="22.5">
      <c r="A2" s="151"/>
      <c r="B2" s="482"/>
      <c r="C2" s="151"/>
      <c r="D2" s="151"/>
      <c r="E2" s="483"/>
      <c r="F2" s="483"/>
      <c r="G2" s="318"/>
      <c r="H2" s="679" t="s">
        <v>251</v>
      </c>
      <c r="I2" s="484"/>
    </row>
    <row r="3" spans="1:9" ht="20.25">
      <c r="A3" s="151"/>
      <c r="B3" s="482"/>
      <c r="C3" s="151"/>
      <c r="D3" s="151"/>
      <c r="E3" s="483"/>
      <c r="F3" s="483"/>
      <c r="G3" s="680"/>
      <c r="H3" s="254" t="s">
        <v>777</v>
      </c>
      <c r="I3" s="484"/>
    </row>
    <row r="4" spans="1:9" ht="20.25">
      <c r="A4" s="151"/>
      <c r="B4" s="482"/>
      <c r="C4" s="151"/>
      <c r="D4" s="151"/>
      <c r="E4" s="483"/>
      <c r="F4" s="483"/>
      <c r="G4" s="680"/>
      <c r="H4" s="254" t="s">
        <v>749</v>
      </c>
      <c r="I4" s="677"/>
    </row>
    <row r="5" spans="1:9" ht="20.25">
      <c r="A5" s="151"/>
      <c r="B5" s="482"/>
      <c r="C5" s="151"/>
      <c r="D5" s="151"/>
      <c r="E5" s="485"/>
      <c r="F5" s="486"/>
      <c r="G5" s="680"/>
      <c r="H5" s="681" t="s">
        <v>778</v>
      </c>
      <c r="I5" s="678"/>
    </row>
    <row r="6" spans="1:8" ht="20.25">
      <c r="A6" s="151"/>
      <c r="B6" s="482"/>
      <c r="C6" s="151"/>
      <c r="D6" s="151"/>
      <c r="E6" s="485"/>
      <c r="F6" s="487"/>
      <c r="G6" s="294"/>
      <c r="H6" s="294"/>
    </row>
    <row r="7" spans="1:8" ht="15.75">
      <c r="A7" s="151"/>
      <c r="B7" s="482"/>
      <c r="C7" s="151"/>
      <c r="D7" s="151"/>
      <c r="E7" s="151"/>
      <c r="F7" s="488"/>
      <c r="G7" s="489"/>
      <c r="H7" s="490"/>
    </row>
    <row r="8" spans="1:8" ht="20.25">
      <c r="A8" s="682" t="s">
        <v>4</v>
      </c>
      <c r="B8" s="682"/>
      <c r="C8" s="682"/>
      <c r="D8" s="682"/>
      <c r="E8" s="682"/>
      <c r="F8" s="682"/>
      <c r="G8" s="682"/>
      <c r="H8" s="682"/>
    </row>
    <row r="9" spans="1:8" ht="20.25" customHeight="1">
      <c r="A9" s="682" t="s">
        <v>750</v>
      </c>
      <c r="B9" s="682"/>
      <c r="C9" s="682"/>
      <c r="D9" s="682"/>
      <c r="E9" s="682"/>
      <c r="F9" s="682"/>
      <c r="G9" s="682"/>
      <c r="H9" s="682"/>
    </row>
    <row r="10" spans="1:8" ht="20.25" customHeight="1">
      <c r="A10" s="682" t="s">
        <v>776</v>
      </c>
      <c r="B10" s="682"/>
      <c r="C10" s="682"/>
      <c r="D10" s="682"/>
      <c r="E10" s="682"/>
      <c r="F10" s="682"/>
      <c r="G10" s="682"/>
      <c r="H10" s="682"/>
    </row>
    <row r="11" spans="1:8" ht="20.25" customHeight="1">
      <c r="A11" s="682" t="s">
        <v>428</v>
      </c>
      <c r="B11" s="682"/>
      <c r="C11" s="682"/>
      <c r="D11" s="682"/>
      <c r="E11" s="682"/>
      <c r="F11" s="682"/>
      <c r="G11" s="682"/>
      <c r="H11" s="682"/>
    </row>
    <row r="12" spans="1:8" ht="16.5" thickBot="1">
      <c r="A12" s="475"/>
      <c r="B12" s="475"/>
      <c r="C12" s="475"/>
      <c r="D12" s="475"/>
      <c r="E12" s="475"/>
      <c r="F12" s="476"/>
      <c r="G12" s="477"/>
      <c r="H12" s="475"/>
    </row>
    <row r="13" spans="1:8" ht="47.25">
      <c r="A13" s="649" t="s">
        <v>6</v>
      </c>
      <c r="B13" s="22" t="s">
        <v>7</v>
      </c>
      <c r="C13" s="650" t="s">
        <v>8</v>
      </c>
      <c r="D13" s="650" t="s">
        <v>9</v>
      </c>
      <c r="E13" s="650" t="s">
        <v>10</v>
      </c>
      <c r="F13" s="651" t="s">
        <v>11</v>
      </c>
      <c r="G13" s="652" t="s">
        <v>12</v>
      </c>
      <c r="H13" s="653" t="s">
        <v>13</v>
      </c>
    </row>
    <row r="14" spans="1:8" ht="15.75">
      <c r="A14" s="370" t="s">
        <v>14</v>
      </c>
      <c r="B14" s="27"/>
      <c r="C14" s="27"/>
      <c r="D14" s="27"/>
      <c r="E14" s="27"/>
      <c r="F14" s="27"/>
      <c r="G14" s="27"/>
      <c r="H14" s="28"/>
    </row>
    <row r="15" spans="1:8" s="313" customFormat="1" ht="15.75">
      <c r="A15" s="305" t="s">
        <v>15</v>
      </c>
      <c r="B15" s="306"/>
      <c r="C15" s="27" t="s">
        <v>177</v>
      </c>
      <c r="D15" s="27"/>
      <c r="E15" s="27"/>
      <c r="F15" s="27"/>
      <c r="G15" s="27"/>
      <c r="H15" s="28"/>
    </row>
    <row r="16" spans="1:8" s="313" customFormat="1" ht="15.75">
      <c r="A16" s="654">
        <v>1</v>
      </c>
      <c r="B16" s="306" t="s">
        <v>18</v>
      </c>
      <c r="C16" s="197" t="s">
        <v>19</v>
      </c>
      <c r="D16" s="197" t="s">
        <v>20</v>
      </c>
      <c r="E16" s="194" t="s">
        <v>21</v>
      </c>
      <c r="F16" s="655" t="s">
        <v>134</v>
      </c>
      <c r="G16" s="655"/>
      <c r="H16" s="591"/>
    </row>
    <row r="17" spans="1:8" s="313" customFormat="1" ht="15.75">
      <c r="A17" s="654"/>
      <c r="B17" s="306"/>
      <c r="C17" s="197"/>
      <c r="D17" s="197"/>
      <c r="E17" s="194" t="s">
        <v>429</v>
      </c>
      <c r="F17" s="655" t="s">
        <v>134</v>
      </c>
      <c r="G17" s="655"/>
      <c r="H17" s="591"/>
    </row>
    <row r="18" spans="1:8" s="313" customFormat="1" ht="15.75">
      <c r="A18" s="654"/>
      <c r="B18" s="306"/>
      <c r="C18" s="197"/>
      <c r="D18" s="193" t="s">
        <v>25</v>
      </c>
      <c r="E18" s="194"/>
      <c r="F18" s="655" t="s">
        <v>134</v>
      </c>
      <c r="G18" s="655"/>
      <c r="H18" s="591"/>
    </row>
    <row r="19" spans="1:8" s="313" customFormat="1" ht="15.75">
      <c r="A19" s="370" t="s">
        <v>430</v>
      </c>
      <c r="B19" s="27"/>
      <c r="C19" s="306" t="s">
        <v>431</v>
      </c>
      <c r="D19" s="306"/>
      <c r="E19" s="306"/>
      <c r="F19" s="306"/>
      <c r="G19" s="306"/>
      <c r="H19" s="310"/>
    </row>
    <row r="20" spans="1:8" s="313" customFormat="1" ht="15.75">
      <c r="A20" s="329">
        <v>2</v>
      </c>
      <c r="B20" s="306" t="s">
        <v>27</v>
      </c>
      <c r="C20" s="197" t="s">
        <v>432</v>
      </c>
      <c r="D20" s="197" t="s">
        <v>20</v>
      </c>
      <c r="E20" s="194" t="s">
        <v>21</v>
      </c>
      <c r="F20" s="655" t="s">
        <v>134</v>
      </c>
      <c r="G20" s="655"/>
      <c r="H20" s="429"/>
    </row>
    <row r="21" spans="1:8" s="313" customFormat="1" ht="15.75">
      <c r="A21" s="329"/>
      <c r="B21" s="306"/>
      <c r="C21" s="197"/>
      <c r="D21" s="197"/>
      <c r="E21" s="194" t="s">
        <v>253</v>
      </c>
      <c r="F21" s="655" t="s">
        <v>134</v>
      </c>
      <c r="G21" s="655"/>
      <c r="H21" s="548"/>
    </row>
    <row r="22" spans="1:8" s="313" customFormat="1" ht="15.75">
      <c r="A22" s="329"/>
      <c r="B22" s="306"/>
      <c r="C22" s="197"/>
      <c r="D22" s="193" t="s">
        <v>25</v>
      </c>
      <c r="E22" s="194"/>
      <c r="F22" s="655" t="s">
        <v>134</v>
      </c>
      <c r="G22" s="655"/>
      <c r="H22" s="434"/>
    </row>
    <row r="23" spans="1:8" s="313" customFormat="1" ht="15.75">
      <c r="A23" s="329">
        <v>3</v>
      </c>
      <c r="B23" s="306" t="s">
        <v>31</v>
      </c>
      <c r="C23" s="197" t="s">
        <v>32</v>
      </c>
      <c r="D23" s="197" t="s">
        <v>20</v>
      </c>
      <c r="E23" s="194" t="s">
        <v>21</v>
      </c>
      <c r="F23" s="655" t="s">
        <v>134</v>
      </c>
      <c r="G23" s="655"/>
      <c r="H23" s="429"/>
    </row>
    <row r="24" spans="1:8" s="313" customFormat="1" ht="15.75">
      <c r="A24" s="329"/>
      <c r="B24" s="306"/>
      <c r="C24" s="197"/>
      <c r="D24" s="197"/>
      <c r="E24" s="194" t="s">
        <v>253</v>
      </c>
      <c r="F24" s="655" t="s">
        <v>134</v>
      </c>
      <c r="G24" s="655"/>
      <c r="H24" s="548"/>
    </row>
    <row r="25" spans="1:8" s="313" customFormat="1" ht="15.75">
      <c r="A25" s="329"/>
      <c r="B25" s="306"/>
      <c r="C25" s="197"/>
      <c r="D25" s="193" t="s">
        <v>25</v>
      </c>
      <c r="E25" s="194"/>
      <c r="F25" s="655" t="s">
        <v>134</v>
      </c>
      <c r="G25" s="655"/>
      <c r="H25" s="434"/>
    </row>
    <row r="26" spans="1:8" s="313" customFormat="1" ht="15.75">
      <c r="A26" s="196">
        <v>4</v>
      </c>
      <c r="B26" s="30" t="s">
        <v>433</v>
      </c>
      <c r="C26" s="306" t="s">
        <v>35</v>
      </c>
      <c r="D26" s="306"/>
      <c r="E26" s="306"/>
      <c r="F26" s="306"/>
      <c r="G26" s="306"/>
      <c r="H26" s="310"/>
    </row>
    <row r="27" spans="1:8" s="313" customFormat="1" ht="15.75">
      <c r="A27" s="199"/>
      <c r="B27" s="36"/>
      <c r="C27" s="173" t="s">
        <v>434</v>
      </c>
      <c r="D27" s="326" t="s">
        <v>20</v>
      </c>
      <c r="E27" s="194" t="s">
        <v>71</v>
      </c>
      <c r="F27" s="216">
        <v>5429</v>
      </c>
      <c r="G27" s="222">
        <f>F27*1.2</f>
        <v>6514.8</v>
      </c>
      <c r="H27" s="656" t="s">
        <v>435</v>
      </c>
    </row>
    <row r="28" spans="1:8" s="313" customFormat="1" ht="15.75">
      <c r="A28" s="199"/>
      <c r="B28" s="36"/>
      <c r="C28" s="179"/>
      <c r="D28" s="326"/>
      <c r="E28" s="194" t="s">
        <v>24</v>
      </c>
      <c r="F28" s="216">
        <v>7073</v>
      </c>
      <c r="G28" s="222">
        <f aca="true" t="shared" si="0" ref="G28:G68">F28*1.2</f>
        <v>8487.6</v>
      </c>
      <c r="H28" s="657"/>
    </row>
    <row r="29" spans="1:8" s="313" customFormat="1" ht="15.75">
      <c r="A29" s="199"/>
      <c r="B29" s="36"/>
      <c r="C29" s="173" t="s">
        <v>436</v>
      </c>
      <c r="D29" s="326" t="s">
        <v>20</v>
      </c>
      <c r="E29" s="194" t="s">
        <v>71</v>
      </c>
      <c r="F29" s="216">
        <v>7197</v>
      </c>
      <c r="G29" s="222">
        <f t="shared" si="0"/>
        <v>8636.4</v>
      </c>
      <c r="H29" s="657"/>
    </row>
    <row r="30" spans="1:8" s="313" customFormat="1" ht="15.75">
      <c r="A30" s="199"/>
      <c r="B30" s="36"/>
      <c r="C30" s="179"/>
      <c r="D30" s="326"/>
      <c r="E30" s="194" t="s">
        <v>24</v>
      </c>
      <c r="F30" s="216">
        <v>8762</v>
      </c>
      <c r="G30" s="222">
        <f t="shared" si="0"/>
        <v>10514.4</v>
      </c>
      <c r="H30" s="657"/>
    </row>
    <row r="31" spans="1:8" s="313" customFormat="1" ht="15.75">
      <c r="A31" s="199"/>
      <c r="B31" s="36"/>
      <c r="C31" s="173" t="s">
        <v>437</v>
      </c>
      <c r="D31" s="326" t="s">
        <v>20</v>
      </c>
      <c r="E31" s="194" t="s">
        <v>71</v>
      </c>
      <c r="F31" s="216">
        <v>8677</v>
      </c>
      <c r="G31" s="222">
        <f t="shared" si="0"/>
        <v>10412.4</v>
      </c>
      <c r="H31" s="657"/>
    </row>
    <row r="32" spans="1:8" s="313" customFormat="1" ht="15.75">
      <c r="A32" s="199"/>
      <c r="B32" s="36"/>
      <c r="C32" s="179"/>
      <c r="D32" s="326"/>
      <c r="E32" s="194" t="s">
        <v>24</v>
      </c>
      <c r="F32" s="216">
        <v>8762</v>
      </c>
      <c r="G32" s="222">
        <f t="shared" si="0"/>
        <v>10514.4</v>
      </c>
      <c r="H32" s="657"/>
    </row>
    <row r="33" spans="1:8" s="313" customFormat="1" ht="15.75">
      <c r="A33" s="199"/>
      <c r="B33" s="36"/>
      <c r="C33" s="175" t="s">
        <v>438</v>
      </c>
      <c r="D33" s="326" t="s">
        <v>20</v>
      </c>
      <c r="E33" s="194" t="s">
        <v>71</v>
      </c>
      <c r="F33" s="216">
        <v>9853</v>
      </c>
      <c r="G33" s="222">
        <f t="shared" si="0"/>
        <v>11823.6</v>
      </c>
      <c r="H33" s="657"/>
    </row>
    <row r="34" spans="1:8" s="313" customFormat="1" ht="15.75">
      <c r="A34" s="199"/>
      <c r="B34" s="36"/>
      <c r="C34" s="175"/>
      <c r="D34" s="326"/>
      <c r="E34" s="194" t="s">
        <v>24</v>
      </c>
      <c r="F34" s="216">
        <v>11726</v>
      </c>
      <c r="G34" s="222">
        <f t="shared" si="0"/>
        <v>14071.199999999999</v>
      </c>
      <c r="H34" s="657"/>
    </row>
    <row r="35" spans="1:8" s="313" customFormat="1" ht="15.75">
      <c r="A35" s="199"/>
      <c r="B35" s="36"/>
      <c r="C35" s="175" t="s">
        <v>439</v>
      </c>
      <c r="D35" s="326" t="s">
        <v>20</v>
      </c>
      <c r="E35" s="194" t="s">
        <v>71</v>
      </c>
      <c r="F35" s="216">
        <v>11410</v>
      </c>
      <c r="G35" s="222">
        <f t="shared" si="0"/>
        <v>13692</v>
      </c>
      <c r="H35" s="657"/>
    </row>
    <row r="36" spans="1:8" s="313" customFormat="1" ht="15.75">
      <c r="A36" s="199"/>
      <c r="B36" s="36"/>
      <c r="C36" s="175"/>
      <c r="D36" s="326"/>
      <c r="E36" s="194" t="s">
        <v>24</v>
      </c>
      <c r="F36" s="216">
        <v>14185</v>
      </c>
      <c r="G36" s="222">
        <f t="shared" si="0"/>
        <v>17022</v>
      </c>
      <c r="H36" s="657"/>
    </row>
    <row r="37" spans="1:8" s="313" customFormat="1" ht="15.75">
      <c r="A37" s="199"/>
      <c r="B37" s="36"/>
      <c r="C37" s="175" t="s">
        <v>440</v>
      </c>
      <c r="D37" s="326" t="s">
        <v>20</v>
      </c>
      <c r="E37" s="194" t="s">
        <v>71</v>
      </c>
      <c r="F37" s="216">
        <v>12676</v>
      </c>
      <c r="G37" s="222">
        <f t="shared" si="0"/>
        <v>15211.199999999999</v>
      </c>
      <c r="H37" s="657"/>
    </row>
    <row r="38" spans="1:8" s="313" customFormat="1" ht="15.75">
      <c r="A38" s="199"/>
      <c r="B38" s="36"/>
      <c r="C38" s="175"/>
      <c r="D38" s="326"/>
      <c r="E38" s="194" t="s">
        <v>24</v>
      </c>
      <c r="F38" s="216">
        <v>16413</v>
      </c>
      <c r="G38" s="222">
        <f t="shared" si="0"/>
        <v>19695.6</v>
      </c>
      <c r="H38" s="657"/>
    </row>
    <row r="39" spans="1:8" s="313" customFormat="1" ht="15.75">
      <c r="A39" s="199"/>
      <c r="B39" s="36"/>
      <c r="C39" s="175" t="s">
        <v>441</v>
      </c>
      <c r="D39" s="326" t="s">
        <v>20</v>
      </c>
      <c r="E39" s="194" t="s">
        <v>71</v>
      </c>
      <c r="F39" s="216">
        <v>15333</v>
      </c>
      <c r="G39" s="222">
        <f t="shared" si="0"/>
        <v>18399.6</v>
      </c>
      <c r="H39" s="657"/>
    </row>
    <row r="40" spans="1:8" s="313" customFormat="1" ht="15.75">
      <c r="A40" s="199"/>
      <c r="B40" s="36"/>
      <c r="C40" s="175"/>
      <c r="D40" s="326"/>
      <c r="E40" s="194" t="s">
        <v>24</v>
      </c>
      <c r="F40" s="216">
        <v>17798</v>
      </c>
      <c r="G40" s="222">
        <f t="shared" si="0"/>
        <v>21357.6</v>
      </c>
      <c r="H40" s="657"/>
    </row>
    <row r="41" spans="1:8" s="313" customFormat="1" ht="15.75">
      <c r="A41" s="199"/>
      <c r="B41" s="36"/>
      <c r="C41" s="175" t="s">
        <v>442</v>
      </c>
      <c r="D41" s="326" t="s">
        <v>20</v>
      </c>
      <c r="E41" s="194" t="s">
        <v>71</v>
      </c>
      <c r="F41" s="216">
        <v>22491</v>
      </c>
      <c r="G41" s="222">
        <f t="shared" si="0"/>
        <v>26989.2</v>
      </c>
      <c r="H41" s="657"/>
    </row>
    <row r="42" spans="1:8" s="313" customFormat="1" ht="15.75">
      <c r="A42" s="199"/>
      <c r="B42" s="36"/>
      <c r="C42" s="175"/>
      <c r="D42" s="326"/>
      <c r="E42" s="194" t="s">
        <v>24</v>
      </c>
      <c r="F42" s="216">
        <v>25568</v>
      </c>
      <c r="G42" s="222">
        <f t="shared" si="0"/>
        <v>30681.6</v>
      </c>
      <c r="H42" s="657"/>
    </row>
    <row r="43" spans="1:8" s="313" customFormat="1" ht="15.75">
      <c r="A43" s="199"/>
      <c r="B43" s="36"/>
      <c r="C43" s="175" t="s">
        <v>443</v>
      </c>
      <c r="D43" s="326" t="s">
        <v>20</v>
      </c>
      <c r="E43" s="194" t="s">
        <v>71</v>
      </c>
      <c r="F43" s="216">
        <v>39437</v>
      </c>
      <c r="G43" s="222">
        <f t="shared" si="0"/>
        <v>47324.4</v>
      </c>
      <c r="H43" s="657"/>
    </row>
    <row r="44" spans="1:8" s="313" customFormat="1" ht="15.75">
      <c r="A44" s="199"/>
      <c r="B44" s="36"/>
      <c r="C44" s="175"/>
      <c r="D44" s="326"/>
      <c r="E44" s="194" t="s">
        <v>24</v>
      </c>
      <c r="F44" s="216">
        <v>42663</v>
      </c>
      <c r="G44" s="222">
        <f t="shared" si="0"/>
        <v>51195.6</v>
      </c>
      <c r="H44" s="657"/>
    </row>
    <row r="45" spans="1:8" s="313" customFormat="1" ht="15.75">
      <c r="A45" s="199"/>
      <c r="B45" s="36"/>
      <c r="C45" s="175" t="s">
        <v>444</v>
      </c>
      <c r="D45" s="326" t="s">
        <v>20</v>
      </c>
      <c r="E45" s="194" t="s">
        <v>71</v>
      </c>
      <c r="F45" s="216">
        <v>35307</v>
      </c>
      <c r="G45" s="222">
        <f t="shared" si="0"/>
        <v>42368.4</v>
      </c>
      <c r="H45" s="657"/>
    </row>
    <row r="46" spans="1:8" s="313" customFormat="1" ht="15.75">
      <c r="A46" s="199"/>
      <c r="B46" s="36"/>
      <c r="C46" s="175"/>
      <c r="D46" s="326"/>
      <c r="E46" s="194" t="s">
        <v>24</v>
      </c>
      <c r="F46" s="216">
        <v>42761</v>
      </c>
      <c r="G46" s="222">
        <f t="shared" si="0"/>
        <v>51313.2</v>
      </c>
      <c r="H46" s="657"/>
    </row>
    <row r="47" spans="1:8" s="313" customFormat="1" ht="15.75">
      <c r="A47" s="199"/>
      <c r="B47" s="36"/>
      <c r="C47" s="175" t="s">
        <v>445</v>
      </c>
      <c r="D47" s="326" t="s">
        <v>20</v>
      </c>
      <c r="E47" s="194" t="s">
        <v>71</v>
      </c>
      <c r="F47" s="216">
        <v>41700</v>
      </c>
      <c r="G47" s="222">
        <f t="shared" si="0"/>
        <v>50040</v>
      </c>
      <c r="H47" s="657"/>
    </row>
    <row r="48" spans="1:8" s="313" customFormat="1" ht="15.75">
      <c r="A48" s="199"/>
      <c r="B48" s="36"/>
      <c r="C48" s="175"/>
      <c r="D48" s="326"/>
      <c r="E48" s="194" t="s">
        <v>24</v>
      </c>
      <c r="F48" s="216">
        <v>48085</v>
      </c>
      <c r="G48" s="222">
        <f t="shared" si="0"/>
        <v>57702</v>
      </c>
      <c r="H48" s="657"/>
    </row>
    <row r="49" spans="1:8" s="313" customFormat="1" ht="15.75">
      <c r="A49" s="199"/>
      <c r="B49" s="36"/>
      <c r="C49" s="175" t="s">
        <v>446</v>
      </c>
      <c r="D49" s="326" t="s">
        <v>20</v>
      </c>
      <c r="E49" s="194" t="s">
        <v>71</v>
      </c>
      <c r="F49" s="216">
        <v>49397</v>
      </c>
      <c r="G49" s="222">
        <f t="shared" si="0"/>
        <v>59276.399999999994</v>
      </c>
      <c r="H49" s="657"/>
    </row>
    <row r="50" spans="1:8" s="313" customFormat="1" ht="15.75">
      <c r="A50" s="199"/>
      <c r="B50" s="36"/>
      <c r="C50" s="175"/>
      <c r="D50" s="326"/>
      <c r="E50" s="194" t="s">
        <v>24</v>
      </c>
      <c r="F50" s="216">
        <v>54118</v>
      </c>
      <c r="G50" s="222">
        <f t="shared" si="0"/>
        <v>64941.6</v>
      </c>
      <c r="H50" s="657"/>
    </row>
    <row r="51" spans="1:8" s="313" customFormat="1" ht="15.75">
      <c r="A51" s="199"/>
      <c r="B51" s="36"/>
      <c r="C51" s="175" t="s">
        <v>447</v>
      </c>
      <c r="D51" s="326" t="s">
        <v>20</v>
      </c>
      <c r="E51" s="194" t="s">
        <v>71</v>
      </c>
      <c r="F51" s="216">
        <v>56892</v>
      </c>
      <c r="G51" s="222">
        <f t="shared" si="0"/>
        <v>68270.4</v>
      </c>
      <c r="H51" s="657"/>
    </row>
    <row r="52" spans="1:8" s="313" customFormat="1" ht="15.75">
      <c r="A52" s="199"/>
      <c r="B52" s="36"/>
      <c r="C52" s="175"/>
      <c r="D52" s="326"/>
      <c r="E52" s="194" t="s">
        <v>24</v>
      </c>
      <c r="F52" s="216">
        <v>60353</v>
      </c>
      <c r="G52" s="222">
        <f t="shared" si="0"/>
        <v>72423.59999999999</v>
      </c>
      <c r="H52" s="657"/>
    </row>
    <row r="53" spans="1:8" s="313" customFormat="1" ht="15.75">
      <c r="A53" s="595"/>
      <c r="B53" s="606"/>
      <c r="C53" s="175" t="s">
        <v>448</v>
      </c>
      <c r="D53" s="326" t="s">
        <v>20</v>
      </c>
      <c r="E53" s="194" t="s">
        <v>71</v>
      </c>
      <c r="F53" s="214">
        <v>2599</v>
      </c>
      <c r="G53" s="222">
        <f t="shared" si="0"/>
        <v>3118.7999999999997</v>
      </c>
      <c r="H53" s="656" t="s">
        <v>449</v>
      </c>
    </row>
    <row r="54" spans="1:8" s="313" customFormat="1" ht="15.75">
      <c r="A54" s="595"/>
      <c r="B54" s="606"/>
      <c r="C54" s="175"/>
      <c r="D54" s="326"/>
      <c r="E54" s="194" t="s">
        <v>24</v>
      </c>
      <c r="F54" s="214">
        <v>3088</v>
      </c>
      <c r="G54" s="222">
        <f t="shared" si="0"/>
        <v>3705.6</v>
      </c>
      <c r="H54" s="658"/>
    </row>
    <row r="55" spans="1:8" s="313" customFormat="1" ht="15.75">
      <c r="A55" s="206"/>
      <c r="B55" s="207"/>
      <c r="C55" s="169" t="s">
        <v>450</v>
      </c>
      <c r="D55" s="170"/>
      <c r="E55" s="170"/>
      <c r="F55" s="170"/>
      <c r="G55" s="170"/>
      <c r="H55" s="171"/>
    </row>
    <row r="56" spans="1:8" s="313" customFormat="1" ht="15.75">
      <c r="A56" s="329">
        <v>5</v>
      </c>
      <c r="B56" s="306" t="s">
        <v>59</v>
      </c>
      <c r="C56" s="175" t="s">
        <v>60</v>
      </c>
      <c r="D56" s="31" t="s">
        <v>20</v>
      </c>
      <c r="E56" s="194" t="s">
        <v>21</v>
      </c>
      <c r="F56" s="526" t="s">
        <v>134</v>
      </c>
      <c r="G56" s="527"/>
      <c r="H56" s="427"/>
    </row>
    <row r="57" spans="1:8" s="313" customFormat="1" ht="15.75">
      <c r="A57" s="329"/>
      <c r="B57" s="306"/>
      <c r="C57" s="175"/>
      <c r="D57" s="42"/>
      <c r="E57" s="194" t="s">
        <v>429</v>
      </c>
      <c r="F57" s="233" t="s">
        <v>134</v>
      </c>
      <c r="G57" s="659"/>
      <c r="H57" s="427"/>
    </row>
    <row r="58" spans="1:8" s="313" customFormat="1" ht="15.75">
      <c r="A58" s="329"/>
      <c r="B58" s="306"/>
      <c r="C58" s="175"/>
      <c r="D58" s="193" t="s">
        <v>25</v>
      </c>
      <c r="E58" s="194"/>
      <c r="F58" s="233" t="s">
        <v>134</v>
      </c>
      <c r="G58" s="659"/>
      <c r="H58" s="427"/>
    </row>
    <row r="59" spans="1:8" s="313" customFormat="1" ht="15.75">
      <c r="A59" s="206"/>
      <c r="B59" s="207"/>
      <c r="C59" s="169" t="s">
        <v>451</v>
      </c>
      <c r="D59" s="219"/>
      <c r="E59" s="219"/>
      <c r="F59" s="219"/>
      <c r="G59" s="219"/>
      <c r="H59" s="220"/>
    </row>
    <row r="60" spans="1:8" s="313" customFormat="1" ht="15.75">
      <c r="A60" s="196">
        <v>6</v>
      </c>
      <c r="B60" s="30" t="s">
        <v>452</v>
      </c>
      <c r="C60" s="173" t="s">
        <v>451</v>
      </c>
      <c r="D60" s="660" t="s">
        <v>20</v>
      </c>
      <c r="E60" s="661" t="s">
        <v>453</v>
      </c>
      <c r="F60" s="238">
        <f>F86*2+F90*2</f>
        <v>2386</v>
      </c>
      <c r="G60" s="222">
        <f t="shared" si="0"/>
        <v>2863.2</v>
      </c>
      <c r="H60" s="662"/>
    </row>
    <row r="61" spans="1:8" s="313" customFormat="1" ht="15.75">
      <c r="A61" s="199"/>
      <c r="B61" s="36"/>
      <c r="C61" s="178"/>
      <c r="D61" s="663"/>
      <c r="E61" s="661" t="s">
        <v>21</v>
      </c>
      <c r="F61" s="238">
        <f>F87*2+F91*2</f>
        <v>4830</v>
      </c>
      <c r="G61" s="222">
        <f t="shared" si="0"/>
        <v>5796</v>
      </c>
      <c r="H61" s="664" t="s">
        <v>454</v>
      </c>
    </row>
    <row r="62" spans="1:8" s="313" customFormat="1" ht="15.75">
      <c r="A62" s="199"/>
      <c r="B62" s="36"/>
      <c r="C62" s="178"/>
      <c r="D62" s="663"/>
      <c r="E62" s="661" t="s">
        <v>21</v>
      </c>
      <c r="F62" s="238">
        <f>F88*2+F91*2</f>
        <v>5514</v>
      </c>
      <c r="G62" s="222">
        <f t="shared" si="0"/>
        <v>6616.8</v>
      </c>
      <c r="H62" s="664" t="s">
        <v>455</v>
      </c>
    </row>
    <row r="63" spans="1:8" s="313" customFormat="1" ht="15.75">
      <c r="A63" s="199"/>
      <c r="B63" s="36"/>
      <c r="C63" s="178"/>
      <c r="D63" s="663"/>
      <c r="E63" s="661" t="s">
        <v>253</v>
      </c>
      <c r="F63" s="238">
        <f>F89*2+F92*2</f>
        <v>6018</v>
      </c>
      <c r="G63" s="222">
        <f t="shared" si="0"/>
        <v>7221.599999999999</v>
      </c>
      <c r="H63" s="664"/>
    </row>
    <row r="64" spans="1:8" s="313" customFormat="1" ht="15.75">
      <c r="A64" s="199"/>
      <c r="B64" s="36"/>
      <c r="C64" s="178"/>
      <c r="D64" s="663"/>
      <c r="E64" s="661" t="s">
        <v>21</v>
      </c>
      <c r="F64" s="238">
        <f>F87*2</f>
        <v>3470</v>
      </c>
      <c r="G64" s="222">
        <f t="shared" si="0"/>
        <v>4164</v>
      </c>
      <c r="H64" s="664" t="s">
        <v>456</v>
      </c>
    </row>
    <row r="65" spans="1:8" s="313" customFormat="1" ht="15.75">
      <c r="A65" s="199"/>
      <c r="B65" s="36"/>
      <c r="C65" s="178"/>
      <c r="D65" s="663"/>
      <c r="E65" s="661" t="s">
        <v>21</v>
      </c>
      <c r="F65" s="238">
        <f>F88*2</f>
        <v>4154</v>
      </c>
      <c r="G65" s="222">
        <f t="shared" si="0"/>
        <v>4984.8</v>
      </c>
      <c r="H65" s="664" t="s">
        <v>457</v>
      </c>
    </row>
    <row r="66" spans="1:8" s="313" customFormat="1" ht="15.75">
      <c r="A66" s="199"/>
      <c r="B66" s="36"/>
      <c r="C66" s="178"/>
      <c r="D66" s="663"/>
      <c r="E66" s="661" t="s">
        <v>253</v>
      </c>
      <c r="F66" s="238">
        <f>F89*2</f>
        <v>4154</v>
      </c>
      <c r="G66" s="222">
        <f t="shared" si="0"/>
        <v>4984.8</v>
      </c>
      <c r="H66" s="664" t="s">
        <v>458</v>
      </c>
    </row>
    <row r="67" spans="1:8" s="313" customFormat="1" ht="15.75">
      <c r="A67" s="199"/>
      <c r="B67" s="36"/>
      <c r="C67" s="178"/>
      <c r="D67" s="663"/>
      <c r="E67" s="661" t="s">
        <v>21</v>
      </c>
      <c r="F67" s="238">
        <f>F91*2</f>
        <v>1360</v>
      </c>
      <c r="G67" s="222">
        <f t="shared" si="0"/>
        <v>1632</v>
      </c>
      <c r="H67" s="664" t="s">
        <v>459</v>
      </c>
    </row>
    <row r="68" spans="1:8" s="313" customFormat="1" ht="15.75">
      <c r="A68" s="200"/>
      <c r="B68" s="41"/>
      <c r="C68" s="179"/>
      <c r="D68" s="665"/>
      <c r="E68" s="661" t="s">
        <v>253</v>
      </c>
      <c r="F68" s="238">
        <f>F92*2</f>
        <v>1864</v>
      </c>
      <c r="G68" s="222">
        <f t="shared" si="0"/>
        <v>2236.7999999999997</v>
      </c>
      <c r="H68" s="664" t="s">
        <v>459</v>
      </c>
    </row>
    <row r="69" spans="1:8" s="313" customFormat="1" ht="15.75">
      <c r="A69" s="25" t="s">
        <v>61</v>
      </c>
      <c r="B69" s="362"/>
      <c r="C69" s="362"/>
      <c r="D69" s="362"/>
      <c r="E69" s="362"/>
      <c r="F69" s="362"/>
      <c r="G69" s="362"/>
      <c r="H69" s="363"/>
    </row>
    <row r="70" spans="1:8" s="313" customFormat="1" ht="15.75">
      <c r="A70" s="305" t="s">
        <v>62</v>
      </c>
      <c r="B70" s="306"/>
      <c r="C70" s="361" t="s">
        <v>63</v>
      </c>
      <c r="D70" s="362"/>
      <c r="E70" s="362"/>
      <c r="F70" s="362"/>
      <c r="G70" s="362"/>
      <c r="H70" s="363"/>
    </row>
    <row r="71" spans="1:8" s="313" customFormat="1" ht="15.75">
      <c r="A71" s="654">
        <v>7</v>
      </c>
      <c r="B71" s="306" t="s">
        <v>64</v>
      </c>
      <c r="C71" s="175" t="s">
        <v>65</v>
      </c>
      <c r="D71" s="197" t="s">
        <v>20</v>
      </c>
      <c r="E71" s="194" t="s">
        <v>21</v>
      </c>
      <c r="F71" s="233" t="s">
        <v>134</v>
      </c>
      <c r="G71" s="659"/>
      <c r="H71" s="427"/>
    </row>
    <row r="72" spans="1:8" s="313" customFormat="1" ht="15.75">
      <c r="A72" s="654"/>
      <c r="B72" s="306"/>
      <c r="C72" s="175"/>
      <c r="D72" s="197"/>
      <c r="E72" s="194" t="s">
        <v>429</v>
      </c>
      <c r="F72" s="233" t="s">
        <v>134</v>
      </c>
      <c r="G72" s="659"/>
      <c r="H72" s="427"/>
    </row>
    <row r="73" spans="1:8" s="313" customFormat="1" ht="15.75">
      <c r="A73" s="654"/>
      <c r="B73" s="306"/>
      <c r="C73" s="175"/>
      <c r="D73" s="193" t="s">
        <v>25</v>
      </c>
      <c r="E73" s="194"/>
      <c r="F73" s="233" t="s">
        <v>134</v>
      </c>
      <c r="G73" s="659"/>
      <c r="H73" s="427"/>
    </row>
    <row r="74" spans="1:8" s="313" customFormat="1" ht="15.75">
      <c r="A74" s="320">
        <v>8</v>
      </c>
      <c r="B74" s="30" t="s">
        <v>66</v>
      </c>
      <c r="C74" s="31" t="s">
        <v>67</v>
      </c>
      <c r="D74" s="9" t="s">
        <v>68</v>
      </c>
      <c r="E74" s="194" t="s">
        <v>20</v>
      </c>
      <c r="F74" s="33" t="s">
        <v>22</v>
      </c>
      <c r="G74" s="34"/>
      <c r="H74" s="429" t="s">
        <v>69</v>
      </c>
    </row>
    <row r="75" spans="1:8" s="313" customFormat="1" ht="15.75">
      <c r="A75" s="541"/>
      <c r="B75" s="36"/>
      <c r="C75" s="37"/>
      <c r="D75" s="287" t="s">
        <v>70</v>
      </c>
      <c r="E75" s="194" t="s">
        <v>25</v>
      </c>
      <c r="F75" s="33" t="s">
        <v>22</v>
      </c>
      <c r="G75" s="34"/>
      <c r="H75" s="434"/>
    </row>
    <row r="76" spans="1:8" s="313" customFormat="1" ht="15.75">
      <c r="A76" s="541"/>
      <c r="B76" s="36"/>
      <c r="C76" s="37"/>
      <c r="D76" s="31" t="s">
        <v>96</v>
      </c>
      <c r="E76" s="194" t="s">
        <v>21</v>
      </c>
      <c r="F76" s="214">
        <v>134</v>
      </c>
      <c r="G76" s="222">
        <f aca="true" t="shared" si="1" ref="G76:G83">F76*1.2</f>
        <v>160.79999999999998</v>
      </c>
      <c r="H76" s="592" t="s">
        <v>460</v>
      </c>
    </row>
    <row r="77" spans="1:8" s="313" customFormat="1" ht="15.75">
      <c r="A77" s="541"/>
      <c r="B77" s="36"/>
      <c r="C77" s="37"/>
      <c r="D77" s="42"/>
      <c r="E77" s="194" t="s">
        <v>429</v>
      </c>
      <c r="F77" s="214">
        <v>231</v>
      </c>
      <c r="G77" s="222">
        <f t="shared" si="1"/>
        <v>277.2</v>
      </c>
      <c r="H77" s="592"/>
    </row>
    <row r="78" spans="1:8" s="313" customFormat="1" ht="15.75">
      <c r="A78" s="541"/>
      <c r="B78" s="36"/>
      <c r="C78" s="37"/>
      <c r="D78" s="31" t="s">
        <v>96</v>
      </c>
      <c r="E78" s="194" t="s">
        <v>21</v>
      </c>
      <c r="F78" s="214">
        <v>697</v>
      </c>
      <c r="G78" s="222">
        <f t="shared" si="1"/>
        <v>836.4</v>
      </c>
      <c r="H78" s="519" t="s">
        <v>461</v>
      </c>
    </row>
    <row r="79" spans="1:8" s="313" customFormat="1" ht="15.75">
      <c r="A79" s="541"/>
      <c r="B79" s="36"/>
      <c r="C79" s="37"/>
      <c r="D79" s="42"/>
      <c r="E79" s="194" t="s">
        <v>429</v>
      </c>
      <c r="F79" s="214">
        <v>1201</v>
      </c>
      <c r="G79" s="222">
        <f t="shared" si="1"/>
        <v>1441.2</v>
      </c>
      <c r="H79" s="521"/>
    </row>
    <row r="80" spans="1:8" s="313" customFormat="1" ht="15.75">
      <c r="A80" s="541"/>
      <c r="B80" s="36"/>
      <c r="C80" s="37"/>
      <c r="D80" s="31" t="s">
        <v>96</v>
      </c>
      <c r="E80" s="194" t="s">
        <v>21</v>
      </c>
      <c r="F80" s="214">
        <v>1045</v>
      </c>
      <c r="G80" s="222">
        <f t="shared" si="1"/>
        <v>1254</v>
      </c>
      <c r="H80" s="519" t="s">
        <v>462</v>
      </c>
    </row>
    <row r="81" spans="1:8" s="313" customFormat="1" ht="15.75">
      <c r="A81" s="541"/>
      <c r="B81" s="36"/>
      <c r="C81" s="37"/>
      <c r="D81" s="42"/>
      <c r="E81" s="194" t="s">
        <v>429</v>
      </c>
      <c r="F81" s="214">
        <v>1802</v>
      </c>
      <c r="G81" s="222">
        <f t="shared" si="1"/>
        <v>2162.4</v>
      </c>
      <c r="H81" s="521"/>
    </row>
    <row r="82" spans="1:8" s="313" customFormat="1" ht="63">
      <c r="A82" s="541"/>
      <c r="B82" s="36"/>
      <c r="C82" s="37"/>
      <c r="D82" s="197" t="s">
        <v>463</v>
      </c>
      <c r="E82" s="194" t="s">
        <v>25</v>
      </c>
      <c r="F82" s="214">
        <v>2112</v>
      </c>
      <c r="G82" s="222">
        <f t="shared" si="1"/>
        <v>2534.4</v>
      </c>
      <c r="H82" s="427" t="s">
        <v>464</v>
      </c>
    </row>
    <row r="83" spans="1:8" s="313" customFormat="1" ht="63">
      <c r="A83" s="322"/>
      <c r="B83" s="41"/>
      <c r="C83" s="42"/>
      <c r="D83" s="197"/>
      <c r="E83" s="194" t="s">
        <v>25</v>
      </c>
      <c r="F83" s="214">
        <v>3168</v>
      </c>
      <c r="G83" s="222">
        <f t="shared" si="1"/>
        <v>3801.6</v>
      </c>
      <c r="H83" s="427" t="s">
        <v>212</v>
      </c>
    </row>
    <row r="84" spans="1:8" s="313" customFormat="1" ht="15.75">
      <c r="A84" s="370" t="s">
        <v>81</v>
      </c>
      <c r="B84" s="27"/>
      <c r="C84" s="384" t="s">
        <v>82</v>
      </c>
      <c r="D84" s="385"/>
      <c r="E84" s="385"/>
      <c r="F84" s="385"/>
      <c r="G84" s="385"/>
      <c r="H84" s="590"/>
    </row>
    <row r="85" spans="1:8" s="313" customFormat="1" ht="15.75">
      <c r="A85" s="588">
        <v>9</v>
      </c>
      <c r="B85" s="380" t="s">
        <v>83</v>
      </c>
      <c r="C85" s="384" t="s">
        <v>465</v>
      </c>
      <c r="D85" s="385"/>
      <c r="E85" s="385"/>
      <c r="F85" s="385"/>
      <c r="G85" s="385"/>
      <c r="H85" s="590"/>
    </row>
    <row r="86" spans="1:8" s="313" customFormat="1" ht="15.75">
      <c r="A86" s="666"/>
      <c r="B86" s="381"/>
      <c r="C86" s="197" t="s">
        <v>84</v>
      </c>
      <c r="D86" s="315" t="s">
        <v>87</v>
      </c>
      <c r="E86" s="661" t="s">
        <v>466</v>
      </c>
      <c r="F86" s="194">
        <v>1042</v>
      </c>
      <c r="G86" s="222">
        <f aca="true" t="shared" si="2" ref="G86:G103">F86*1.2</f>
        <v>1250.3999999999999</v>
      </c>
      <c r="H86" s="667"/>
    </row>
    <row r="87" spans="1:8" s="313" customFormat="1" ht="15.75">
      <c r="A87" s="666"/>
      <c r="B87" s="381"/>
      <c r="C87" s="197"/>
      <c r="D87" s="315"/>
      <c r="E87" s="661" t="s">
        <v>219</v>
      </c>
      <c r="F87" s="194">
        <v>1735</v>
      </c>
      <c r="G87" s="222">
        <f t="shared" si="2"/>
        <v>2082</v>
      </c>
      <c r="H87" s="664" t="s">
        <v>454</v>
      </c>
    </row>
    <row r="88" spans="1:8" s="313" customFormat="1" ht="15.75">
      <c r="A88" s="666"/>
      <c r="B88" s="381"/>
      <c r="C88" s="175"/>
      <c r="D88" s="315"/>
      <c r="E88" s="661" t="s">
        <v>219</v>
      </c>
      <c r="F88" s="194">
        <v>2077</v>
      </c>
      <c r="G88" s="222">
        <f t="shared" si="2"/>
        <v>2492.4</v>
      </c>
      <c r="H88" s="664" t="s">
        <v>455</v>
      </c>
    </row>
    <row r="89" spans="1:8" s="313" customFormat="1" ht="15.75">
      <c r="A89" s="666"/>
      <c r="B89" s="381"/>
      <c r="C89" s="175"/>
      <c r="D89" s="315"/>
      <c r="E89" s="661" t="s">
        <v>467</v>
      </c>
      <c r="F89" s="194">
        <v>2077</v>
      </c>
      <c r="G89" s="222">
        <f t="shared" si="2"/>
        <v>2492.4</v>
      </c>
      <c r="H89" s="667"/>
    </row>
    <row r="90" spans="1:8" s="313" customFormat="1" ht="15.75">
      <c r="A90" s="666"/>
      <c r="B90" s="381"/>
      <c r="C90" s="197" t="s">
        <v>84</v>
      </c>
      <c r="D90" s="315" t="s">
        <v>87</v>
      </c>
      <c r="E90" s="661" t="s">
        <v>466</v>
      </c>
      <c r="F90" s="194">
        <v>151</v>
      </c>
      <c r="G90" s="222">
        <f t="shared" si="2"/>
        <v>181.2</v>
      </c>
      <c r="H90" s="667" t="s">
        <v>205</v>
      </c>
    </row>
    <row r="91" spans="1:8" s="313" customFormat="1" ht="15.75">
      <c r="A91" s="666"/>
      <c r="B91" s="381"/>
      <c r="C91" s="197"/>
      <c r="D91" s="315"/>
      <c r="E91" s="661" t="s">
        <v>219</v>
      </c>
      <c r="F91" s="194">
        <v>680</v>
      </c>
      <c r="G91" s="222">
        <f t="shared" si="2"/>
        <v>816</v>
      </c>
      <c r="H91" s="664" t="s">
        <v>205</v>
      </c>
    </row>
    <row r="92" spans="1:8" s="313" customFormat="1" ht="15.75">
      <c r="A92" s="666"/>
      <c r="B92" s="381"/>
      <c r="C92" s="197"/>
      <c r="D92" s="315"/>
      <c r="E92" s="661" t="s">
        <v>467</v>
      </c>
      <c r="F92" s="194">
        <v>932</v>
      </c>
      <c r="G92" s="222">
        <f t="shared" si="2"/>
        <v>1118.3999999999999</v>
      </c>
      <c r="H92" s="664" t="s">
        <v>205</v>
      </c>
    </row>
    <row r="93" spans="1:8" s="313" customFormat="1" ht="15.75">
      <c r="A93" s="668"/>
      <c r="B93" s="669"/>
      <c r="C93" s="384" t="s">
        <v>94</v>
      </c>
      <c r="D93" s="385"/>
      <c r="E93" s="385"/>
      <c r="F93" s="385"/>
      <c r="G93" s="385"/>
      <c r="H93" s="590"/>
    </row>
    <row r="94" spans="1:8" s="313" customFormat="1" ht="15.75">
      <c r="A94" s="654">
        <v>10</v>
      </c>
      <c r="B94" s="27" t="s">
        <v>93</v>
      </c>
      <c r="C94" s="326" t="s">
        <v>94</v>
      </c>
      <c r="D94" s="209" t="s">
        <v>96</v>
      </c>
      <c r="E94" s="661" t="s">
        <v>219</v>
      </c>
      <c r="F94" s="194">
        <v>194</v>
      </c>
      <c r="G94" s="222">
        <f t="shared" si="2"/>
        <v>232.79999999999998</v>
      </c>
      <c r="H94" s="220" t="s">
        <v>468</v>
      </c>
    </row>
    <row r="95" spans="1:8" s="313" customFormat="1" ht="15.75">
      <c r="A95" s="654"/>
      <c r="B95" s="27"/>
      <c r="C95" s="326"/>
      <c r="D95" s="209" t="s">
        <v>96</v>
      </c>
      <c r="E95" s="661" t="s">
        <v>221</v>
      </c>
      <c r="F95" s="194">
        <v>288</v>
      </c>
      <c r="G95" s="222">
        <f t="shared" si="2"/>
        <v>345.59999999999997</v>
      </c>
      <c r="H95" s="220"/>
    </row>
    <row r="96" spans="1:8" s="313" customFormat="1" ht="15.75">
      <c r="A96" s="654"/>
      <c r="B96" s="27"/>
      <c r="C96" s="326"/>
      <c r="D96" s="209" t="s">
        <v>96</v>
      </c>
      <c r="E96" s="661" t="s">
        <v>469</v>
      </c>
      <c r="F96" s="194">
        <v>297</v>
      </c>
      <c r="G96" s="222">
        <f t="shared" si="2"/>
        <v>356.4</v>
      </c>
      <c r="H96" s="220"/>
    </row>
    <row r="97" spans="1:8" ht="15.75">
      <c r="A97" s="654"/>
      <c r="B97" s="27"/>
      <c r="C97" s="321" t="s">
        <v>94</v>
      </c>
      <c r="D97" s="209" t="s">
        <v>96</v>
      </c>
      <c r="E97" s="661" t="s">
        <v>219</v>
      </c>
      <c r="F97" s="194">
        <v>57</v>
      </c>
      <c r="G97" s="222">
        <f t="shared" si="2"/>
        <v>68.39999999999999</v>
      </c>
      <c r="H97" s="519" t="s">
        <v>470</v>
      </c>
    </row>
    <row r="98" spans="1:8" ht="15.75">
      <c r="A98" s="654"/>
      <c r="B98" s="27"/>
      <c r="C98" s="335"/>
      <c r="D98" s="209" t="s">
        <v>96</v>
      </c>
      <c r="E98" s="661" t="s">
        <v>24</v>
      </c>
      <c r="F98" s="194">
        <v>79</v>
      </c>
      <c r="G98" s="222">
        <f t="shared" si="2"/>
        <v>94.8</v>
      </c>
      <c r="H98" s="521"/>
    </row>
    <row r="99" spans="1:8" ht="15.75">
      <c r="A99" s="654"/>
      <c r="B99" s="27"/>
      <c r="C99" s="323"/>
      <c r="D99" s="209" t="s">
        <v>96</v>
      </c>
      <c r="E99" s="661" t="s">
        <v>469</v>
      </c>
      <c r="F99" s="194">
        <v>81</v>
      </c>
      <c r="G99" s="222">
        <f t="shared" si="2"/>
        <v>97.2</v>
      </c>
      <c r="H99" s="554"/>
    </row>
    <row r="100" spans="1:8" ht="15.75">
      <c r="A100" s="654"/>
      <c r="B100" s="27"/>
      <c r="C100" s="321" t="s">
        <v>94</v>
      </c>
      <c r="D100" s="209" t="s">
        <v>96</v>
      </c>
      <c r="E100" s="661" t="s">
        <v>466</v>
      </c>
      <c r="F100" s="194">
        <v>497</v>
      </c>
      <c r="G100" s="222">
        <f t="shared" si="2"/>
        <v>596.4</v>
      </c>
      <c r="H100" s="670" t="s">
        <v>471</v>
      </c>
    </row>
    <row r="101" spans="1:8" ht="15.75">
      <c r="A101" s="654"/>
      <c r="B101" s="27"/>
      <c r="C101" s="335"/>
      <c r="D101" s="209" t="s">
        <v>96</v>
      </c>
      <c r="E101" s="661" t="s">
        <v>219</v>
      </c>
      <c r="F101" s="194">
        <v>1414</v>
      </c>
      <c r="G101" s="222">
        <f t="shared" si="2"/>
        <v>1696.8</v>
      </c>
      <c r="H101" s="671"/>
    </row>
    <row r="102" spans="1:8" ht="15.75">
      <c r="A102" s="654"/>
      <c r="B102" s="27"/>
      <c r="C102" s="335"/>
      <c r="D102" s="209" t="s">
        <v>96</v>
      </c>
      <c r="E102" s="661" t="s">
        <v>24</v>
      </c>
      <c r="F102" s="194">
        <v>1942</v>
      </c>
      <c r="G102" s="222">
        <f t="shared" si="2"/>
        <v>2330.4</v>
      </c>
      <c r="H102" s="671"/>
    </row>
    <row r="103" spans="1:8" ht="15.75">
      <c r="A103" s="654"/>
      <c r="B103" s="27"/>
      <c r="C103" s="323"/>
      <c r="D103" s="209" t="s">
        <v>96</v>
      </c>
      <c r="E103" s="661" t="s">
        <v>469</v>
      </c>
      <c r="F103" s="194">
        <v>1996</v>
      </c>
      <c r="G103" s="222">
        <f t="shared" si="2"/>
        <v>2395.2</v>
      </c>
      <c r="H103" s="672"/>
    </row>
    <row r="104" spans="1:8" ht="15.75">
      <c r="A104" s="668"/>
      <c r="B104" s="669"/>
      <c r="C104" s="169" t="s">
        <v>224</v>
      </c>
      <c r="D104" s="170"/>
      <c r="E104" s="170"/>
      <c r="F104" s="511"/>
      <c r="G104" s="511"/>
      <c r="H104" s="171"/>
    </row>
    <row r="105" spans="1:8" ht="15.75">
      <c r="A105" s="320">
        <v>11</v>
      </c>
      <c r="B105" s="380" t="s">
        <v>223</v>
      </c>
      <c r="C105" s="173" t="s">
        <v>472</v>
      </c>
      <c r="D105" s="321" t="s">
        <v>20</v>
      </c>
      <c r="E105" s="194" t="s">
        <v>219</v>
      </c>
      <c r="F105" s="216">
        <v>8063</v>
      </c>
      <c r="G105" s="238">
        <f>F105*1.2</f>
        <v>9675.6</v>
      </c>
      <c r="H105" s="519" t="s">
        <v>473</v>
      </c>
    </row>
    <row r="106" spans="1:8" ht="15.75">
      <c r="A106" s="541"/>
      <c r="B106" s="381"/>
      <c r="C106" s="178"/>
      <c r="D106" s="335"/>
      <c r="E106" s="194" t="s">
        <v>24</v>
      </c>
      <c r="F106" s="216">
        <v>15890</v>
      </c>
      <c r="G106" s="238">
        <f>F106*1.2</f>
        <v>19068</v>
      </c>
      <c r="H106" s="609"/>
    </row>
    <row r="107" spans="1:8" ht="15.75">
      <c r="A107" s="541"/>
      <c r="B107" s="381"/>
      <c r="C107" s="178"/>
      <c r="D107" s="194" t="s">
        <v>474</v>
      </c>
      <c r="E107" s="194" t="s">
        <v>314</v>
      </c>
      <c r="F107" s="216">
        <v>1000</v>
      </c>
      <c r="G107" s="238">
        <f>F107*1.2</f>
        <v>1200</v>
      </c>
      <c r="H107" s="234" t="s">
        <v>475</v>
      </c>
    </row>
    <row r="108" spans="1:8" ht="15.75">
      <c r="A108" s="541"/>
      <c r="B108" s="381"/>
      <c r="C108" s="173" t="s">
        <v>472</v>
      </c>
      <c r="D108" s="194" t="s">
        <v>476</v>
      </c>
      <c r="E108" s="194" t="s">
        <v>476</v>
      </c>
      <c r="F108" s="216">
        <v>318</v>
      </c>
      <c r="G108" s="238">
        <f>F108*1.2</f>
        <v>381.59999999999997</v>
      </c>
      <c r="H108" s="237" t="s">
        <v>477</v>
      </c>
    </row>
    <row r="109" spans="1:8" ht="15.75">
      <c r="A109" s="541"/>
      <c r="B109" s="381"/>
      <c r="C109" s="178"/>
      <c r="D109" s="321" t="s">
        <v>20</v>
      </c>
      <c r="E109" s="194" t="s">
        <v>219</v>
      </c>
      <c r="F109" s="216">
        <v>7980</v>
      </c>
      <c r="G109" s="238">
        <f>F109*1.2</f>
        <v>9576</v>
      </c>
      <c r="H109" s="519" t="s">
        <v>478</v>
      </c>
    </row>
    <row r="110" spans="1:8" ht="15.75">
      <c r="A110" s="322"/>
      <c r="B110" s="382"/>
      <c r="C110" s="179"/>
      <c r="D110" s="335"/>
      <c r="E110" s="194" t="s">
        <v>24</v>
      </c>
      <c r="F110" s="216">
        <v>8615</v>
      </c>
      <c r="G110" s="238">
        <f>F110*1.2</f>
        <v>10338</v>
      </c>
      <c r="H110" s="521"/>
    </row>
    <row r="111" spans="1:8" ht="15.75">
      <c r="A111" s="329">
        <v>12</v>
      </c>
      <c r="B111" s="306" t="s">
        <v>107</v>
      </c>
      <c r="C111" s="437" t="s">
        <v>308</v>
      </c>
      <c r="D111" s="438"/>
      <c r="E111" s="438"/>
      <c r="F111" s="438"/>
      <c r="G111" s="438"/>
      <c r="H111" s="673"/>
    </row>
    <row r="112" spans="1:8" ht="31.5">
      <c r="A112" s="329"/>
      <c r="B112" s="306"/>
      <c r="C112" s="173" t="s">
        <v>108</v>
      </c>
      <c r="D112" s="317" t="s">
        <v>151</v>
      </c>
      <c r="E112" s="194"/>
      <c r="F112" s="216">
        <v>468</v>
      </c>
      <c r="G112" s="238">
        <f>F112*1.2</f>
        <v>561.6</v>
      </c>
      <c r="H112" s="325" t="s">
        <v>110</v>
      </c>
    </row>
    <row r="113" spans="1:8" ht="31.5">
      <c r="A113" s="329"/>
      <c r="B113" s="306"/>
      <c r="C113" s="178"/>
      <c r="D113" s="317" t="s">
        <v>151</v>
      </c>
      <c r="E113" s="194"/>
      <c r="F113" s="216">
        <v>605</v>
      </c>
      <c r="G113" s="238">
        <f aca="true" t="shared" si="3" ref="G113:G139">F113*1.2</f>
        <v>726</v>
      </c>
      <c r="H113" s="325" t="s">
        <v>479</v>
      </c>
    </row>
    <row r="114" spans="1:8" ht="31.5">
      <c r="A114" s="329"/>
      <c r="B114" s="306"/>
      <c r="C114" s="179"/>
      <c r="D114" s="317" t="s">
        <v>151</v>
      </c>
      <c r="E114" s="194"/>
      <c r="F114" s="216">
        <v>356</v>
      </c>
      <c r="G114" s="238">
        <f t="shared" si="3"/>
        <v>427.2</v>
      </c>
      <c r="H114" s="325" t="s">
        <v>480</v>
      </c>
    </row>
    <row r="115" spans="1:8" ht="15.75">
      <c r="A115" s="196">
        <v>13</v>
      </c>
      <c r="B115" s="30" t="s">
        <v>112</v>
      </c>
      <c r="C115" s="437" t="s">
        <v>113</v>
      </c>
      <c r="D115" s="438"/>
      <c r="E115" s="438"/>
      <c r="F115" s="438"/>
      <c r="G115" s="438"/>
      <c r="H115" s="673"/>
    </row>
    <row r="116" spans="1:8" ht="31.5">
      <c r="A116" s="199"/>
      <c r="B116" s="36"/>
      <c r="C116" s="321" t="s">
        <v>113</v>
      </c>
      <c r="D116" s="317" t="s">
        <v>151</v>
      </c>
      <c r="E116" s="209"/>
      <c r="F116" s="216">
        <v>2834</v>
      </c>
      <c r="G116" s="238">
        <f t="shared" si="3"/>
        <v>3400.7999999999997</v>
      </c>
      <c r="H116" s="325" t="s">
        <v>389</v>
      </c>
    </row>
    <row r="117" spans="1:8" ht="31.5">
      <c r="A117" s="199"/>
      <c r="B117" s="36"/>
      <c r="C117" s="335"/>
      <c r="D117" s="209" t="s">
        <v>20</v>
      </c>
      <c r="E117" s="209"/>
      <c r="F117" s="216">
        <v>26483</v>
      </c>
      <c r="G117" s="238">
        <f t="shared" si="3"/>
        <v>31779.6</v>
      </c>
      <c r="H117" s="234" t="s">
        <v>481</v>
      </c>
    </row>
    <row r="118" spans="1:8" ht="15.75">
      <c r="A118" s="200"/>
      <c r="B118" s="41"/>
      <c r="C118" s="323"/>
      <c r="D118" s="209" t="s">
        <v>20</v>
      </c>
      <c r="E118" s="209" t="s">
        <v>482</v>
      </c>
      <c r="F118" s="216">
        <v>1500</v>
      </c>
      <c r="G118" s="238">
        <f t="shared" si="3"/>
        <v>1800</v>
      </c>
      <c r="H118" s="234" t="s">
        <v>483</v>
      </c>
    </row>
    <row r="119" spans="1:8" ht="15.75">
      <c r="A119" s="329">
        <v>14</v>
      </c>
      <c r="B119" s="306" t="s">
        <v>312</v>
      </c>
      <c r="C119" s="326" t="s">
        <v>313</v>
      </c>
      <c r="D119" s="326" t="s">
        <v>20</v>
      </c>
      <c r="E119" s="194" t="s">
        <v>219</v>
      </c>
      <c r="F119" s="216">
        <v>1553</v>
      </c>
      <c r="G119" s="238">
        <f t="shared" si="3"/>
        <v>1863.6</v>
      </c>
      <c r="H119" s="592" t="s">
        <v>484</v>
      </c>
    </row>
    <row r="120" spans="1:8" ht="15.75">
      <c r="A120" s="329"/>
      <c r="B120" s="306"/>
      <c r="C120" s="326"/>
      <c r="D120" s="326"/>
      <c r="E120" s="194" t="s">
        <v>253</v>
      </c>
      <c r="F120" s="216">
        <v>1982</v>
      </c>
      <c r="G120" s="238">
        <f t="shared" si="3"/>
        <v>2378.4</v>
      </c>
      <c r="H120" s="592"/>
    </row>
    <row r="121" spans="1:8" ht="15.75">
      <c r="A121" s="206"/>
      <c r="B121" s="207"/>
      <c r="C121" s="169" t="s">
        <v>120</v>
      </c>
      <c r="D121" s="170"/>
      <c r="E121" s="170"/>
      <c r="F121" s="170"/>
      <c r="G121" s="170"/>
      <c r="H121" s="171"/>
    </row>
    <row r="122" spans="1:8" ht="31.5">
      <c r="A122" s="338">
        <v>15</v>
      </c>
      <c r="B122" s="328" t="s">
        <v>116</v>
      </c>
      <c r="C122" s="317" t="s">
        <v>485</v>
      </c>
      <c r="D122" s="317" t="s">
        <v>118</v>
      </c>
      <c r="E122" s="661"/>
      <c r="F122" s="195">
        <v>1702</v>
      </c>
      <c r="G122" s="238">
        <f t="shared" si="3"/>
        <v>2042.3999999999999</v>
      </c>
      <c r="H122" s="667"/>
    </row>
    <row r="123" spans="1:8" ht="15.75">
      <c r="A123" s="339">
        <v>16</v>
      </c>
      <c r="B123" s="30" t="s">
        <v>231</v>
      </c>
      <c r="C123" s="173" t="s">
        <v>486</v>
      </c>
      <c r="D123" s="317" t="s">
        <v>20</v>
      </c>
      <c r="E123" s="661"/>
      <c r="F123" s="195">
        <v>1702</v>
      </c>
      <c r="G123" s="238">
        <f t="shared" si="3"/>
        <v>2042.3999999999999</v>
      </c>
      <c r="H123" s="667" t="s">
        <v>85</v>
      </c>
    </row>
    <row r="124" spans="1:8" ht="15.75">
      <c r="A124" s="339">
        <v>17</v>
      </c>
      <c r="B124" s="41"/>
      <c r="C124" s="179"/>
      <c r="D124" s="317" t="s">
        <v>118</v>
      </c>
      <c r="E124" s="194"/>
      <c r="F124" s="194">
        <v>2632</v>
      </c>
      <c r="G124" s="238">
        <f t="shared" si="3"/>
        <v>3158.4</v>
      </c>
      <c r="H124" s="667" t="s">
        <v>121</v>
      </c>
    </row>
    <row r="125" spans="1:8" ht="15.75">
      <c r="A125" s="338">
        <v>18</v>
      </c>
      <c r="B125" s="328" t="s">
        <v>487</v>
      </c>
      <c r="C125" s="174" t="s">
        <v>488</v>
      </c>
      <c r="D125" s="317" t="s">
        <v>20</v>
      </c>
      <c r="E125" s="661"/>
      <c r="F125" s="195">
        <v>641</v>
      </c>
      <c r="G125" s="238">
        <f t="shared" si="3"/>
        <v>769.1999999999999</v>
      </c>
      <c r="H125" s="667"/>
    </row>
    <row r="126" spans="1:8" ht="15.75">
      <c r="A126" s="196">
        <v>19</v>
      </c>
      <c r="B126" s="30" t="s">
        <v>122</v>
      </c>
      <c r="C126" s="169" t="s">
        <v>393</v>
      </c>
      <c r="D126" s="170"/>
      <c r="E126" s="170"/>
      <c r="F126" s="170"/>
      <c r="G126" s="170"/>
      <c r="H126" s="171"/>
    </row>
    <row r="127" spans="1:8" ht="15.75">
      <c r="A127" s="199"/>
      <c r="B127" s="36"/>
      <c r="C127" s="173" t="s">
        <v>393</v>
      </c>
      <c r="D127" s="326" t="s">
        <v>20</v>
      </c>
      <c r="E127" s="194" t="s">
        <v>466</v>
      </c>
      <c r="F127" s="195">
        <v>794</v>
      </c>
      <c r="G127" s="238">
        <f t="shared" si="3"/>
        <v>952.8</v>
      </c>
      <c r="H127" s="592" t="s">
        <v>124</v>
      </c>
    </row>
    <row r="128" spans="1:8" ht="15.75">
      <c r="A128" s="199"/>
      <c r="B128" s="36"/>
      <c r="C128" s="178"/>
      <c r="D128" s="326"/>
      <c r="E128" s="194" t="s">
        <v>219</v>
      </c>
      <c r="F128" s="195">
        <v>1523</v>
      </c>
      <c r="G128" s="238">
        <f t="shared" si="3"/>
        <v>1827.6</v>
      </c>
      <c r="H128" s="592"/>
    </row>
    <row r="129" spans="1:8" ht="15.75">
      <c r="A129" s="199"/>
      <c r="B129" s="36"/>
      <c r="C129" s="178"/>
      <c r="D129" s="326"/>
      <c r="E129" s="194" t="s">
        <v>24</v>
      </c>
      <c r="F129" s="195">
        <v>2222</v>
      </c>
      <c r="G129" s="238">
        <f t="shared" si="3"/>
        <v>2666.4</v>
      </c>
      <c r="H129" s="592"/>
    </row>
    <row r="130" spans="1:8" ht="15.75">
      <c r="A130" s="199"/>
      <c r="B130" s="36"/>
      <c r="C130" s="178"/>
      <c r="D130" s="326"/>
      <c r="E130" s="194" t="s">
        <v>469</v>
      </c>
      <c r="F130" s="195">
        <v>2284</v>
      </c>
      <c r="G130" s="238">
        <f t="shared" si="3"/>
        <v>2740.7999999999997</v>
      </c>
      <c r="H130" s="592"/>
    </row>
    <row r="131" spans="1:8" ht="15.75">
      <c r="A131" s="199"/>
      <c r="B131" s="36"/>
      <c r="C131" s="178"/>
      <c r="D131" s="326"/>
      <c r="E131" s="194" t="s">
        <v>489</v>
      </c>
      <c r="F131" s="238">
        <v>1195</v>
      </c>
      <c r="G131" s="222">
        <f>F131*1.2</f>
        <v>1434</v>
      </c>
      <c r="H131" s="496" t="s">
        <v>490</v>
      </c>
    </row>
    <row r="132" spans="1:8" ht="15.75">
      <c r="A132" s="199"/>
      <c r="B132" s="36"/>
      <c r="C132" s="178"/>
      <c r="D132" s="326"/>
      <c r="E132" s="194" t="s">
        <v>219</v>
      </c>
      <c r="F132" s="194">
        <v>857</v>
      </c>
      <c r="G132" s="222">
        <f>F132*1.2</f>
        <v>1028.3999999999999</v>
      </c>
      <c r="H132" s="427" t="s">
        <v>491</v>
      </c>
    </row>
    <row r="133" spans="1:8" ht="63">
      <c r="A133" s="200"/>
      <c r="B133" s="41"/>
      <c r="C133" s="179"/>
      <c r="D133" s="174" t="s">
        <v>118</v>
      </c>
      <c r="E133" s="174"/>
      <c r="F133" s="555" t="s">
        <v>126</v>
      </c>
      <c r="G133" s="556"/>
      <c r="H133" s="234" t="s">
        <v>128</v>
      </c>
    </row>
    <row r="134" spans="1:8" ht="15.75">
      <c r="A134" s="196">
        <v>20</v>
      </c>
      <c r="B134" s="306" t="s">
        <v>318</v>
      </c>
      <c r="C134" s="169" t="s">
        <v>319</v>
      </c>
      <c r="D134" s="170"/>
      <c r="E134" s="511"/>
      <c r="F134" s="511"/>
      <c r="G134" s="511"/>
      <c r="H134" s="512"/>
    </row>
    <row r="135" spans="1:8" ht="15.75">
      <c r="A135" s="199"/>
      <c r="B135" s="306"/>
      <c r="C135" s="210" t="s">
        <v>319</v>
      </c>
      <c r="D135" s="317" t="s">
        <v>323</v>
      </c>
      <c r="E135" s="194" t="s">
        <v>492</v>
      </c>
      <c r="F135" s="216">
        <v>4535</v>
      </c>
      <c r="G135" s="238">
        <f t="shared" si="3"/>
        <v>5442</v>
      </c>
      <c r="H135" s="519" t="s">
        <v>493</v>
      </c>
    </row>
    <row r="136" spans="1:8" ht="47.25">
      <c r="A136" s="199"/>
      <c r="B136" s="306"/>
      <c r="C136" s="221"/>
      <c r="D136" s="317" t="s">
        <v>323</v>
      </c>
      <c r="E136" s="195" t="s">
        <v>494</v>
      </c>
      <c r="F136" s="216">
        <v>5668</v>
      </c>
      <c r="G136" s="238">
        <f t="shared" si="3"/>
        <v>6801.599999999999</v>
      </c>
      <c r="H136" s="554"/>
    </row>
    <row r="137" spans="1:8" ht="15.75">
      <c r="A137" s="199"/>
      <c r="B137" s="306"/>
      <c r="C137" s="221"/>
      <c r="D137" s="317" t="s">
        <v>323</v>
      </c>
      <c r="E137" s="194" t="s">
        <v>492</v>
      </c>
      <c r="F137" s="216">
        <v>1700</v>
      </c>
      <c r="G137" s="238">
        <f t="shared" si="3"/>
        <v>2040</v>
      </c>
      <c r="H137" s="519" t="s">
        <v>495</v>
      </c>
    </row>
    <row r="138" spans="1:8" ht="47.25">
      <c r="A138" s="199"/>
      <c r="B138" s="306"/>
      <c r="C138" s="221"/>
      <c r="D138" s="317" t="s">
        <v>323</v>
      </c>
      <c r="E138" s="195" t="s">
        <v>494</v>
      </c>
      <c r="F138" s="216">
        <v>2267</v>
      </c>
      <c r="G138" s="238">
        <f t="shared" si="3"/>
        <v>2720.4</v>
      </c>
      <c r="H138" s="554"/>
    </row>
    <row r="139" spans="1:8" ht="31.5">
      <c r="A139" s="200"/>
      <c r="B139" s="306"/>
      <c r="C139" s="211"/>
      <c r="D139" s="317" t="s">
        <v>151</v>
      </c>
      <c r="E139" s="195" t="s">
        <v>496</v>
      </c>
      <c r="F139" s="216">
        <v>3040</v>
      </c>
      <c r="G139" s="238">
        <f t="shared" si="3"/>
        <v>3648</v>
      </c>
      <c r="H139" s="234" t="s">
        <v>497</v>
      </c>
    </row>
    <row r="140" spans="1:8" ht="15.75">
      <c r="A140" s="25"/>
      <c r="B140" s="26"/>
      <c r="C140" s="169" t="s">
        <v>130</v>
      </c>
      <c r="D140" s="170"/>
      <c r="E140" s="170"/>
      <c r="F140" s="170"/>
      <c r="G140" s="170"/>
      <c r="H140" s="171"/>
    </row>
    <row r="141" spans="1:8" ht="15.75">
      <c r="A141" s="674" t="s">
        <v>328</v>
      </c>
      <c r="B141" s="383" t="s">
        <v>329</v>
      </c>
      <c r="C141" s="186" t="s">
        <v>330</v>
      </c>
      <c r="D141" s="174" t="s">
        <v>498</v>
      </c>
      <c r="E141" s="174"/>
      <c r="F141" s="555" t="s">
        <v>134</v>
      </c>
      <c r="G141" s="556"/>
      <c r="H141" s="443" t="s">
        <v>499</v>
      </c>
    </row>
    <row r="142" spans="1:8" ht="15.75">
      <c r="A142" s="329">
        <v>22</v>
      </c>
      <c r="B142" s="306" t="s">
        <v>142</v>
      </c>
      <c r="C142" s="175" t="s">
        <v>143</v>
      </c>
      <c r="D142" s="326" t="s">
        <v>20</v>
      </c>
      <c r="E142" s="194" t="s">
        <v>21</v>
      </c>
      <c r="F142" s="226" t="s">
        <v>134</v>
      </c>
      <c r="G142" s="227"/>
      <c r="H142" s="234"/>
    </row>
    <row r="143" spans="1:8" ht="15.75">
      <c r="A143" s="329"/>
      <c r="B143" s="306"/>
      <c r="C143" s="175"/>
      <c r="D143" s="326"/>
      <c r="E143" s="195" t="s">
        <v>253</v>
      </c>
      <c r="F143" s="526"/>
      <c r="G143" s="527"/>
      <c r="H143" s="234"/>
    </row>
    <row r="144" spans="1:8" ht="47.25">
      <c r="A144" s="338">
        <v>23</v>
      </c>
      <c r="B144" s="328" t="s">
        <v>144</v>
      </c>
      <c r="C144" s="174" t="s">
        <v>145</v>
      </c>
      <c r="D144" s="317" t="s">
        <v>25</v>
      </c>
      <c r="E144" s="195"/>
      <c r="F144" s="233" t="s">
        <v>134</v>
      </c>
      <c r="G144" s="659"/>
      <c r="H144" s="557"/>
    </row>
    <row r="145" spans="1:8" ht="15.75">
      <c r="A145" s="206"/>
      <c r="B145" s="207"/>
      <c r="C145" s="169" t="s">
        <v>239</v>
      </c>
      <c r="D145" s="170"/>
      <c r="E145" s="170"/>
      <c r="F145" s="170"/>
      <c r="G145" s="170"/>
      <c r="H145" s="171"/>
    </row>
    <row r="146" spans="1:8" ht="15.75">
      <c r="A146" s="196">
        <v>24</v>
      </c>
      <c r="B146" s="30" t="s">
        <v>238</v>
      </c>
      <c r="C146" s="173" t="s">
        <v>239</v>
      </c>
      <c r="D146" s="317" t="s">
        <v>118</v>
      </c>
      <c r="E146" s="195"/>
      <c r="F146" s="214">
        <v>34005</v>
      </c>
      <c r="G146" s="238">
        <f aca="true" t="shared" si="4" ref="G146:G160">F146*1.2</f>
        <v>40806</v>
      </c>
      <c r="H146" s="234" t="s">
        <v>500</v>
      </c>
    </row>
    <row r="147" spans="1:8" ht="15.75">
      <c r="A147" s="200"/>
      <c r="B147" s="41"/>
      <c r="C147" s="179"/>
      <c r="D147" s="317" t="s">
        <v>118</v>
      </c>
      <c r="E147" s="195"/>
      <c r="F147" s="214">
        <v>7935</v>
      </c>
      <c r="G147" s="238">
        <f t="shared" si="4"/>
        <v>9522</v>
      </c>
      <c r="H147" s="234" t="s">
        <v>501</v>
      </c>
    </row>
    <row r="148" spans="1:8" ht="15.75">
      <c r="A148" s="623"/>
      <c r="B148" s="415"/>
      <c r="C148" s="169" t="s">
        <v>502</v>
      </c>
      <c r="D148" s="170"/>
      <c r="E148" s="170"/>
      <c r="F148" s="170"/>
      <c r="G148" s="170"/>
      <c r="H148" s="171"/>
    </row>
    <row r="149" spans="1:8" ht="31.5">
      <c r="A149" s="594"/>
      <c r="B149" s="30" t="s">
        <v>241</v>
      </c>
      <c r="C149" s="173" t="s">
        <v>503</v>
      </c>
      <c r="D149" s="174" t="s">
        <v>20</v>
      </c>
      <c r="E149" s="174" t="s">
        <v>403</v>
      </c>
      <c r="F149" s="555" t="s">
        <v>126</v>
      </c>
      <c r="G149" s="556"/>
      <c r="H149" s="234" t="s">
        <v>504</v>
      </c>
    </row>
    <row r="150" spans="1:8" s="250" customFormat="1" ht="31.5">
      <c r="A150" s="594"/>
      <c r="B150" s="36"/>
      <c r="C150" s="178"/>
      <c r="D150" s="174" t="s">
        <v>151</v>
      </c>
      <c r="E150" s="174"/>
      <c r="F150" s="216">
        <v>212</v>
      </c>
      <c r="G150" s="238">
        <f t="shared" si="4"/>
        <v>254.39999999999998</v>
      </c>
      <c r="H150" s="237" t="s">
        <v>153</v>
      </c>
    </row>
    <row r="151" spans="1:8" s="250" customFormat="1" ht="15.75">
      <c r="A151" s="594"/>
      <c r="B151" s="36"/>
      <c r="C151" s="178"/>
      <c r="D151" s="174" t="s">
        <v>20</v>
      </c>
      <c r="E151" s="194" t="s">
        <v>21</v>
      </c>
      <c r="F151" s="216">
        <v>1999</v>
      </c>
      <c r="G151" s="238">
        <f t="shared" si="4"/>
        <v>2398.7999999999997</v>
      </c>
      <c r="H151" s="237" t="s">
        <v>505</v>
      </c>
    </row>
    <row r="152" spans="1:8" s="250" customFormat="1" ht="31.5">
      <c r="A152" s="595">
        <v>25</v>
      </c>
      <c r="B152" s="36"/>
      <c r="C152" s="178"/>
      <c r="D152" s="174" t="s">
        <v>20</v>
      </c>
      <c r="E152" s="194" t="s">
        <v>21</v>
      </c>
      <c r="F152" s="216">
        <v>8362</v>
      </c>
      <c r="G152" s="238">
        <f t="shared" si="4"/>
        <v>10034.4</v>
      </c>
      <c r="H152" s="237" t="s">
        <v>506</v>
      </c>
    </row>
    <row r="153" spans="1:8" s="250" customFormat="1" ht="31.5">
      <c r="A153" s="594"/>
      <c r="B153" s="36"/>
      <c r="C153" s="178"/>
      <c r="D153" s="174" t="s">
        <v>20</v>
      </c>
      <c r="E153" s="194" t="s">
        <v>21</v>
      </c>
      <c r="F153" s="216">
        <v>10275</v>
      </c>
      <c r="G153" s="238">
        <f t="shared" si="4"/>
        <v>12330</v>
      </c>
      <c r="H153" s="237" t="s">
        <v>507</v>
      </c>
    </row>
    <row r="154" spans="1:8" s="250" customFormat="1" ht="31.5">
      <c r="A154" s="594"/>
      <c r="B154" s="36"/>
      <c r="C154" s="178"/>
      <c r="D154" s="174" t="s">
        <v>20</v>
      </c>
      <c r="E154" s="194" t="s">
        <v>21</v>
      </c>
      <c r="F154" s="216">
        <v>14287</v>
      </c>
      <c r="G154" s="238">
        <f t="shared" si="4"/>
        <v>17144.399999999998</v>
      </c>
      <c r="H154" s="237" t="s">
        <v>508</v>
      </c>
    </row>
    <row r="155" spans="1:8" s="250" customFormat="1" ht="31.5">
      <c r="A155" s="624"/>
      <c r="B155" s="41"/>
      <c r="C155" s="179"/>
      <c r="D155" s="317" t="s">
        <v>151</v>
      </c>
      <c r="E155" s="194" t="s">
        <v>21</v>
      </c>
      <c r="F155" s="216">
        <v>4509</v>
      </c>
      <c r="G155" s="238">
        <f t="shared" si="4"/>
        <v>5410.8</v>
      </c>
      <c r="H155" s="237" t="s">
        <v>509</v>
      </c>
    </row>
    <row r="156" spans="1:8" ht="47.25">
      <c r="A156" s="208">
        <v>26</v>
      </c>
      <c r="B156" s="328" t="s">
        <v>154</v>
      </c>
      <c r="C156" s="174" t="s">
        <v>405</v>
      </c>
      <c r="D156" s="174" t="s">
        <v>118</v>
      </c>
      <c r="E156" s="174"/>
      <c r="F156" s="214">
        <v>2181.91</v>
      </c>
      <c r="G156" s="238">
        <f t="shared" si="4"/>
        <v>2618.292</v>
      </c>
      <c r="H156" s="234"/>
    </row>
    <row r="157" spans="1:8" ht="15.75">
      <c r="A157" s="343" t="s">
        <v>157</v>
      </c>
      <c r="B157" s="344"/>
      <c r="C157" s="345" t="s">
        <v>158</v>
      </c>
      <c r="D157" s="346"/>
      <c r="E157" s="346"/>
      <c r="F157" s="346"/>
      <c r="G157" s="346"/>
      <c r="H157" s="347"/>
    </row>
    <row r="158" spans="1:8" ht="15.75">
      <c r="A158" s="329">
        <v>27</v>
      </c>
      <c r="B158" s="306" t="s">
        <v>159</v>
      </c>
      <c r="C158" s="315" t="s">
        <v>160</v>
      </c>
      <c r="D158" s="197" t="s">
        <v>161</v>
      </c>
      <c r="E158" s="661" t="s">
        <v>21</v>
      </c>
      <c r="F158" s="222">
        <v>1197</v>
      </c>
      <c r="G158" s="238">
        <f t="shared" si="4"/>
        <v>1436.3999999999999</v>
      </c>
      <c r="H158" s="675" t="s">
        <v>335</v>
      </c>
    </row>
    <row r="159" spans="1:8" ht="15.75">
      <c r="A159" s="329"/>
      <c r="B159" s="306"/>
      <c r="C159" s="315"/>
      <c r="D159" s="197"/>
      <c r="E159" s="661" t="s">
        <v>24</v>
      </c>
      <c r="F159" s="222">
        <v>1236</v>
      </c>
      <c r="G159" s="238">
        <f t="shared" si="4"/>
        <v>1483.2</v>
      </c>
      <c r="H159" s="675"/>
    </row>
    <row r="160" spans="1:8" ht="79.5" thickBot="1">
      <c r="A160" s="348">
        <v>28</v>
      </c>
      <c r="B160" s="349" t="s">
        <v>510</v>
      </c>
      <c r="C160" s="242" t="s">
        <v>164</v>
      </c>
      <c r="D160" s="242" t="s">
        <v>161</v>
      </c>
      <c r="E160" s="351" t="s">
        <v>511</v>
      </c>
      <c r="F160" s="533">
        <v>255</v>
      </c>
      <c r="G160" s="532">
        <f t="shared" si="4"/>
        <v>306</v>
      </c>
      <c r="H160" s="352" t="s">
        <v>512</v>
      </c>
    </row>
    <row r="161" ht="15.75">
      <c r="H161" s="250"/>
    </row>
    <row r="162" spans="1:8" ht="15.75">
      <c r="A162" s="558" t="s">
        <v>248</v>
      </c>
      <c r="C162" s="318"/>
      <c r="H162" s="250"/>
    </row>
    <row r="163" spans="1:8" ht="15.75">
      <c r="A163" s="558"/>
      <c r="C163" s="318"/>
      <c r="E163" s="252"/>
      <c r="F163" s="480"/>
      <c r="H163" s="250"/>
    </row>
    <row r="164" spans="1:8" ht="15.75">
      <c r="A164" s="558" t="s">
        <v>513</v>
      </c>
      <c r="C164" s="318"/>
      <c r="E164" s="156" t="s">
        <v>168</v>
      </c>
      <c r="F164" s="480"/>
      <c r="G164" s="318"/>
      <c r="H164" s="250"/>
    </row>
    <row r="165" spans="1:8" ht="15.75">
      <c r="A165" s="558"/>
      <c r="C165" s="318"/>
      <c r="E165" s="159"/>
      <c r="F165" s="480"/>
      <c r="G165" s="318"/>
      <c r="H165" s="250"/>
    </row>
    <row r="166" spans="1:8" ht="15.75">
      <c r="A166" s="558" t="s">
        <v>169</v>
      </c>
      <c r="C166" s="318"/>
      <c r="E166" s="156" t="s">
        <v>170</v>
      </c>
      <c r="F166" s="480"/>
      <c r="G166" s="318"/>
      <c r="H166" s="250"/>
    </row>
    <row r="167" spans="1:8" ht="15.75">
      <c r="A167" s="558"/>
      <c r="C167" s="318"/>
      <c r="E167" s="159"/>
      <c r="F167" s="480"/>
      <c r="G167" s="318"/>
      <c r="H167" s="250"/>
    </row>
    <row r="168" spans="1:8" ht="15.75">
      <c r="A168" s="558" t="s">
        <v>171</v>
      </c>
      <c r="C168" s="318"/>
      <c r="E168" s="156" t="s">
        <v>172</v>
      </c>
      <c r="F168" s="480"/>
      <c r="G168" s="318"/>
      <c r="H168" s="250"/>
    </row>
    <row r="169" spans="1:8" ht="15.75">
      <c r="A169" s="558"/>
      <c r="C169" s="318"/>
      <c r="E169" s="159"/>
      <c r="F169" s="480"/>
      <c r="G169" s="318"/>
      <c r="H169" s="250"/>
    </row>
    <row r="170" spans="1:8" ht="15.75">
      <c r="A170" s="558" t="s">
        <v>173</v>
      </c>
      <c r="C170" s="318"/>
      <c r="E170" s="156" t="s">
        <v>174</v>
      </c>
      <c r="F170" s="480"/>
      <c r="G170" s="318"/>
      <c r="H170" s="250"/>
    </row>
    <row r="171" spans="1:8" ht="15.75">
      <c r="A171" s="558"/>
      <c r="C171" s="318"/>
      <c r="E171" s="159"/>
      <c r="G171" s="318"/>
      <c r="H171" s="250"/>
    </row>
    <row r="172" spans="1:8" ht="15.75">
      <c r="A172" s="558" t="s">
        <v>514</v>
      </c>
      <c r="C172" s="318"/>
      <c r="D172" s="676"/>
      <c r="E172" s="156" t="s">
        <v>515</v>
      </c>
      <c r="G172" s="318"/>
      <c r="H172" s="250"/>
    </row>
    <row r="173" ht="15.75">
      <c r="H173" s="250"/>
    </row>
  </sheetData>
  <sheetProtection/>
  <mergeCells count="189">
    <mergeCell ref="H74:H75"/>
    <mergeCell ref="A10:H10"/>
    <mergeCell ref="A158:A159"/>
    <mergeCell ref="B158:B159"/>
    <mergeCell ref="C158:C159"/>
    <mergeCell ref="D158:D159"/>
    <mergeCell ref="H158:H159"/>
    <mergeCell ref="C148:H148"/>
    <mergeCell ref="B149:B155"/>
    <mergeCell ref="C149:C155"/>
    <mergeCell ref="F149:G149"/>
    <mergeCell ref="A157:B157"/>
    <mergeCell ref="C157:H157"/>
    <mergeCell ref="F144:G144"/>
    <mergeCell ref="A145:B145"/>
    <mergeCell ref="C145:H145"/>
    <mergeCell ref="A146:A147"/>
    <mergeCell ref="B146:B147"/>
    <mergeCell ref="C146:C147"/>
    <mergeCell ref="A140:B140"/>
    <mergeCell ref="C140:H140"/>
    <mergeCell ref="F141:G141"/>
    <mergeCell ref="A142:A143"/>
    <mergeCell ref="B142:B143"/>
    <mergeCell ref="C142:C143"/>
    <mergeCell ref="D142:D143"/>
    <mergeCell ref="F142:G143"/>
    <mergeCell ref="H127:H130"/>
    <mergeCell ref="F133:G133"/>
    <mergeCell ref="A134:A139"/>
    <mergeCell ref="B134:B139"/>
    <mergeCell ref="C134:H134"/>
    <mergeCell ref="C135:C139"/>
    <mergeCell ref="H135:H136"/>
    <mergeCell ref="H137:H138"/>
    <mergeCell ref="A121:B121"/>
    <mergeCell ref="C121:H121"/>
    <mergeCell ref="B123:B124"/>
    <mergeCell ref="C123:C124"/>
    <mergeCell ref="A126:A133"/>
    <mergeCell ref="B126:B133"/>
    <mergeCell ref="C126:H126"/>
    <mergeCell ref="C127:C133"/>
    <mergeCell ref="D127:D132"/>
    <mergeCell ref="A115:A118"/>
    <mergeCell ref="B115:B118"/>
    <mergeCell ref="C115:H115"/>
    <mergeCell ref="C116:C118"/>
    <mergeCell ref="A119:A120"/>
    <mergeCell ref="B119:B120"/>
    <mergeCell ref="C119:C120"/>
    <mergeCell ref="D119:D120"/>
    <mergeCell ref="H119:H120"/>
    <mergeCell ref="C108:C110"/>
    <mergeCell ref="D109:D110"/>
    <mergeCell ref="H109:H110"/>
    <mergeCell ref="A111:A114"/>
    <mergeCell ref="B111:B114"/>
    <mergeCell ref="C111:H111"/>
    <mergeCell ref="C112:C114"/>
    <mergeCell ref="A104:B104"/>
    <mergeCell ref="C104:H104"/>
    <mergeCell ref="A105:A110"/>
    <mergeCell ref="B105:B110"/>
    <mergeCell ref="C105:C107"/>
    <mergeCell ref="D105:D106"/>
    <mergeCell ref="H105:H106"/>
    <mergeCell ref="C97:C99"/>
    <mergeCell ref="H97:H99"/>
    <mergeCell ref="C100:C103"/>
    <mergeCell ref="H100:H103"/>
    <mergeCell ref="C90:C92"/>
    <mergeCell ref="D90:D92"/>
    <mergeCell ref="A93:B93"/>
    <mergeCell ref="C93:H93"/>
    <mergeCell ref="A94:A103"/>
    <mergeCell ref="B94:B103"/>
    <mergeCell ref="C94:C96"/>
    <mergeCell ref="H94:H96"/>
    <mergeCell ref="A84:B84"/>
    <mergeCell ref="C84:H84"/>
    <mergeCell ref="A85:A92"/>
    <mergeCell ref="B85:B92"/>
    <mergeCell ref="C85:H85"/>
    <mergeCell ref="C86:C89"/>
    <mergeCell ref="D86:D89"/>
    <mergeCell ref="H76:H77"/>
    <mergeCell ref="D78:D79"/>
    <mergeCell ref="H78:H79"/>
    <mergeCell ref="D80:D81"/>
    <mergeCell ref="H80:H81"/>
    <mergeCell ref="D82:D83"/>
    <mergeCell ref="F72:G72"/>
    <mergeCell ref="F73:G73"/>
    <mergeCell ref="A74:A83"/>
    <mergeCell ref="B74:B83"/>
    <mergeCell ref="C74:C83"/>
    <mergeCell ref="F74:G74"/>
    <mergeCell ref="F75:G75"/>
    <mergeCell ref="D76:D77"/>
    <mergeCell ref="A69:H69"/>
    <mergeCell ref="A70:B70"/>
    <mergeCell ref="C70:H70"/>
    <mergeCell ref="A71:A73"/>
    <mergeCell ref="B71:B73"/>
    <mergeCell ref="C71:C73"/>
    <mergeCell ref="D71:D72"/>
    <mergeCell ref="F71:G71"/>
    <mergeCell ref="F57:G57"/>
    <mergeCell ref="F58:G58"/>
    <mergeCell ref="A59:B59"/>
    <mergeCell ref="C59:H59"/>
    <mergeCell ref="A60:A68"/>
    <mergeCell ref="B60:B68"/>
    <mergeCell ref="C60:C68"/>
    <mergeCell ref="D60:D68"/>
    <mergeCell ref="C53:C54"/>
    <mergeCell ref="D53:D54"/>
    <mergeCell ref="H53:H54"/>
    <mergeCell ref="A55:B55"/>
    <mergeCell ref="C55:H55"/>
    <mergeCell ref="A56:A58"/>
    <mergeCell ref="B56:B58"/>
    <mergeCell ref="C56:C58"/>
    <mergeCell ref="D56:D57"/>
    <mergeCell ref="F56:G56"/>
    <mergeCell ref="C47:C48"/>
    <mergeCell ref="D47:D48"/>
    <mergeCell ref="C49:C50"/>
    <mergeCell ref="D49:D50"/>
    <mergeCell ref="C51:C52"/>
    <mergeCell ref="D51:D52"/>
    <mergeCell ref="C41:C42"/>
    <mergeCell ref="D41:D42"/>
    <mergeCell ref="C43:C44"/>
    <mergeCell ref="D43:D44"/>
    <mergeCell ref="C45:C46"/>
    <mergeCell ref="D45:D46"/>
    <mergeCell ref="C35:C36"/>
    <mergeCell ref="D35:D36"/>
    <mergeCell ref="C37:C38"/>
    <mergeCell ref="D37:D38"/>
    <mergeCell ref="C39:C40"/>
    <mergeCell ref="D39:D40"/>
    <mergeCell ref="C29:C30"/>
    <mergeCell ref="D29:D30"/>
    <mergeCell ref="C31:C32"/>
    <mergeCell ref="D31:D32"/>
    <mergeCell ref="C33:C34"/>
    <mergeCell ref="D33:D34"/>
    <mergeCell ref="F24:G24"/>
    <mergeCell ref="F25:G25"/>
    <mergeCell ref="A26:A52"/>
    <mergeCell ref="B26:B52"/>
    <mergeCell ref="C26:H26"/>
    <mergeCell ref="C27:C28"/>
    <mergeCell ref="D27:D28"/>
    <mergeCell ref="H27:H52"/>
    <mergeCell ref="H20:H22"/>
    <mergeCell ref="F21:G21"/>
    <mergeCell ref="F22:G22"/>
    <mergeCell ref="A23:A25"/>
    <mergeCell ref="B23:B25"/>
    <mergeCell ref="C23:C25"/>
    <mergeCell ref="D23:D24"/>
    <mergeCell ref="F23:G23"/>
    <mergeCell ref="H23:H25"/>
    <mergeCell ref="F17:G17"/>
    <mergeCell ref="F18:G18"/>
    <mergeCell ref="A19:B19"/>
    <mergeCell ref="C19:H19"/>
    <mergeCell ref="A20:A22"/>
    <mergeCell ref="B20:B22"/>
    <mergeCell ref="C20:C22"/>
    <mergeCell ref="D20:D21"/>
    <mergeCell ref="F20:G20"/>
    <mergeCell ref="A14:H14"/>
    <mergeCell ref="A15:B15"/>
    <mergeCell ref="C15:H15"/>
    <mergeCell ref="A16:A18"/>
    <mergeCell ref="B16:B18"/>
    <mergeCell ref="C16:C18"/>
    <mergeCell ref="D16:D17"/>
    <mergeCell ref="F16:G16"/>
    <mergeCell ref="H16:H18"/>
    <mergeCell ref="G6:H6"/>
    <mergeCell ref="A8:H8"/>
    <mergeCell ref="A9:H9"/>
    <mergeCell ref="A11:H1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115"/>
  <sheetViews>
    <sheetView zoomScale="70" zoomScaleNormal="70" zoomScalePageLayoutView="0" workbookViewId="0" topLeftCell="A1">
      <selection activeCell="A12" sqref="A12:H12"/>
    </sheetView>
  </sheetViews>
  <sheetFormatPr defaultColWidth="9.140625" defaultRowHeight="15"/>
  <cols>
    <col min="1" max="1" width="8.00390625" style="150" customWidth="1"/>
    <col min="2" max="2" width="15.8515625" style="151" customWidth="1"/>
    <col min="3" max="3" width="52.00390625" style="151" customWidth="1"/>
    <col min="4" max="5" width="18.28125" style="152" customWidth="1"/>
    <col min="6" max="6" width="18.28125" style="150" customWidth="1"/>
    <col min="7" max="7" width="18.28125" style="159" customWidth="1"/>
    <col min="8" max="8" width="92.28125" style="159" customWidth="1"/>
    <col min="9" max="251" width="9.140625" style="478" customWidth="1"/>
    <col min="252" max="252" width="4.7109375" style="478" customWidth="1"/>
    <col min="253" max="253" width="13.421875" style="478" customWidth="1"/>
    <col min="254" max="254" width="76.140625" style="478" customWidth="1"/>
    <col min="255" max="255" width="20.140625" style="478" customWidth="1"/>
    <col min="256" max="16384" width="26.7109375" style="478" customWidth="1"/>
  </cols>
  <sheetData>
    <row r="1" spans="5:8" ht="22.5">
      <c r="E1" s="148"/>
      <c r="F1" s="149"/>
      <c r="G1" s="148"/>
      <c r="H1" s="148"/>
    </row>
    <row r="2" spans="5:10" ht="22.5">
      <c r="E2" s="148"/>
      <c r="F2" s="478"/>
      <c r="G2" s="478"/>
      <c r="H2" s="149" t="s">
        <v>251</v>
      </c>
      <c r="I2" s="148"/>
      <c r="J2" s="148"/>
    </row>
    <row r="3" spans="5:10" ht="20.25">
      <c r="E3" s="153"/>
      <c r="F3" s="478"/>
      <c r="G3" s="478"/>
      <c r="H3" s="154" t="s">
        <v>1</v>
      </c>
      <c r="I3" s="155"/>
      <c r="J3" s="156"/>
    </row>
    <row r="4" spans="5:10" ht="20.25">
      <c r="E4" s="153"/>
      <c r="F4" s="478"/>
      <c r="G4" s="478"/>
      <c r="H4" s="154" t="s">
        <v>252</v>
      </c>
      <c r="I4" s="155"/>
      <c r="J4" s="156"/>
    </row>
    <row r="5" spans="5:10" ht="18.75">
      <c r="E5" s="153"/>
      <c r="F5" s="478"/>
      <c r="G5" s="478"/>
      <c r="H5" s="157"/>
      <c r="I5" s="155"/>
      <c r="J5" s="156"/>
    </row>
    <row r="6" spans="5:10" ht="18.75">
      <c r="E6" s="153"/>
      <c r="F6" s="478"/>
      <c r="G6" s="478"/>
      <c r="H6" s="157"/>
      <c r="I6" s="155"/>
      <c r="J6" s="156"/>
    </row>
    <row r="7" spans="5:9" ht="20.25">
      <c r="E7" s="153"/>
      <c r="F7" s="478"/>
      <c r="G7" s="478"/>
      <c r="H7" s="158" t="s">
        <v>780</v>
      </c>
      <c r="I7" s="699"/>
    </row>
    <row r="8" spans="6:10" ht="15.75">
      <c r="F8" s="478"/>
      <c r="G8" s="478"/>
      <c r="H8" s="150"/>
      <c r="I8" s="159"/>
      <c r="J8" s="159"/>
    </row>
    <row r="10" spans="1:8" ht="20.25">
      <c r="A10" s="304" t="s">
        <v>4</v>
      </c>
      <c r="B10" s="304"/>
      <c r="C10" s="304"/>
      <c r="D10" s="304"/>
      <c r="E10" s="304"/>
      <c r="F10" s="304"/>
      <c r="G10" s="304"/>
      <c r="H10" s="304"/>
    </row>
    <row r="11" spans="1:8" ht="20.25">
      <c r="A11" s="304" t="s">
        <v>773</v>
      </c>
      <c r="B11" s="304"/>
      <c r="C11" s="304"/>
      <c r="D11" s="304"/>
      <c r="E11" s="304"/>
      <c r="F11" s="304"/>
      <c r="G11" s="304"/>
      <c r="H11" s="304"/>
    </row>
    <row r="12" spans="1:8" ht="20.25">
      <c r="A12" s="304" t="s">
        <v>779</v>
      </c>
      <c r="B12" s="304"/>
      <c r="C12" s="304"/>
      <c r="D12" s="304"/>
      <c r="E12" s="304"/>
      <c r="F12" s="304"/>
      <c r="G12" s="304"/>
      <c r="H12" s="304"/>
    </row>
    <row r="13" spans="1:8" ht="20.25">
      <c r="A13" s="304" t="s">
        <v>5</v>
      </c>
      <c r="B13" s="304"/>
      <c r="C13" s="304"/>
      <c r="D13" s="304"/>
      <c r="E13" s="304"/>
      <c r="F13" s="304"/>
      <c r="G13" s="304"/>
      <c r="H13" s="304"/>
    </row>
    <row r="14" spans="1:8" ht="21" thickBot="1">
      <c r="A14" s="698"/>
      <c r="B14" s="698"/>
      <c r="C14" s="698"/>
      <c r="D14" s="698"/>
      <c r="E14" s="698"/>
      <c r="F14" s="698"/>
      <c r="G14" s="698"/>
      <c r="H14" s="698"/>
    </row>
    <row r="15" spans="1:8" s="250" customFormat="1" ht="48" thickBot="1">
      <c r="A15" s="160" t="s">
        <v>6</v>
      </c>
      <c r="B15" s="161" t="s">
        <v>7</v>
      </c>
      <c r="C15" s="161" t="s">
        <v>8</v>
      </c>
      <c r="D15" s="161" t="s">
        <v>9</v>
      </c>
      <c r="E15" s="161" t="s">
        <v>10</v>
      </c>
      <c r="F15" s="162" t="s">
        <v>11</v>
      </c>
      <c r="G15" s="162" t="s">
        <v>12</v>
      </c>
      <c r="H15" s="495" t="s">
        <v>13</v>
      </c>
    </row>
    <row r="16" spans="1:8" s="250" customFormat="1" ht="15.75">
      <c r="A16" s="164" t="s">
        <v>516</v>
      </c>
      <c r="B16" s="165"/>
      <c r="C16" s="165"/>
      <c r="D16" s="165"/>
      <c r="E16" s="165"/>
      <c r="F16" s="165"/>
      <c r="G16" s="165"/>
      <c r="H16" s="166"/>
    </row>
    <row r="17" spans="1:8" s="250" customFormat="1" ht="15.75">
      <c r="A17" s="167" t="s">
        <v>15</v>
      </c>
      <c r="B17" s="168"/>
      <c r="C17" s="169" t="s">
        <v>517</v>
      </c>
      <c r="D17" s="170"/>
      <c r="E17" s="170"/>
      <c r="F17" s="170"/>
      <c r="G17" s="170"/>
      <c r="H17" s="171"/>
    </row>
    <row r="18" spans="1:8" s="250" customFormat="1" ht="15.75">
      <c r="A18" s="172">
        <v>1</v>
      </c>
      <c r="B18" s="173" t="s">
        <v>18</v>
      </c>
      <c r="C18" s="173" t="s">
        <v>517</v>
      </c>
      <c r="D18" s="173" t="s">
        <v>20</v>
      </c>
      <c r="E18" s="174" t="s">
        <v>71</v>
      </c>
      <c r="F18" s="175" t="s">
        <v>22</v>
      </c>
      <c r="G18" s="175"/>
      <c r="H18" s="176" t="s">
        <v>178</v>
      </c>
    </row>
    <row r="19" spans="1:8" s="250" customFormat="1" ht="15.75">
      <c r="A19" s="177"/>
      <c r="B19" s="178"/>
      <c r="C19" s="178"/>
      <c r="D19" s="179"/>
      <c r="E19" s="174" t="s">
        <v>24</v>
      </c>
      <c r="F19" s="175" t="s">
        <v>22</v>
      </c>
      <c r="G19" s="175"/>
      <c r="H19" s="683"/>
    </row>
    <row r="20" spans="1:8" s="250" customFormat="1" ht="15.75">
      <c r="A20" s="180"/>
      <c r="B20" s="179"/>
      <c r="C20" s="179"/>
      <c r="D20" s="174" t="s">
        <v>25</v>
      </c>
      <c r="E20" s="174"/>
      <c r="F20" s="175" t="s">
        <v>22</v>
      </c>
      <c r="G20" s="175"/>
      <c r="H20" s="684"/>
    </row>
    <row r="21" spans="1:8" s="250" customFormat="1" ht="15.75">
      <c r="A21" s="167" t="s">
        <v>518</v>
      </c>
      <c r="B21" s="168"/>
      <c r="C21" s="169" t="s">
        <v>519</v>
      </c>
      <c r="D21" s="170"/>
      <c r="E21" s="170"/>
      <c r="F21" s="170"/>
      <c r="G21" s="170"/>
      <c r="H21" s="171"/>
    </row>
    <row r="22" spans="1:8" s="250" customFormat="1" ht="15.75">
      <c r="A22" s="172">
        <v>2</v>
      </c>
      <c r="B22" s="173" t="s">
        <v>27</v>
      </c>
      <c r="C22" s="173" t="s">
        <v>520</v>
      </c>
      <c r="D22" s="173" t="s">
        <v>20</v>
      </c>
      <c r="E22" s="174" t="s">
        <v>71</v>
      </c>
      <c r="F22" s="175" t="s">
        <v>22</v>
      </c>
      <c r="G22" s="175"/>
      <c r="H22" s="176" t="s">
        <v>179</v>
      </c>
    </row>
    <row r="23" spans="1:8" s="250" customFormat="1" ht="15.75">
      <c r="A23" s="177"/>
      <c r="B23" s="178"/>
      <c r="C23" s="178"/>
      <c r="D23" s="179"/>
      <c r="E23" s="174" t="s">
        <v>24</v>
      </c>
      <c r="F23" s="175" t="s">
        <v>22</v>
      </c>
      <c r="G23" s="175"/>
      <c r="H23" s="683"/>
    </row>
    <row r="24" spans="1:8" s="250" customFormat="1" ht="15.75">
      <c r="A24" s="180"/>
      <c r="B24" s="179"/>
      <c r="C24" s="179"/>
      <c r="D24" s="174" t="s">
        <v>25</v>
      </c>
      <c r="E24" s="174"/>
      <c r="F24" s="175" t="s">
        <v>22</v>
      </c>
      <c r="G24" s="175"/>
      <c r="H24" s="684"/>
    </row>
    <row r="25" spans="1:8" s="250" customFormat="1" ht="15.75">
      <c r="A25" s="172">
        <v>3</v>
      </c>
      <c r="B25" s="173" t="s">
        <v>31</v>
      </c>
      <c r="C25" s="173" t="s">
        <v>521</v>
      </c>
      <c r="D25" s="173" t="s">
        <v>20</v>
      </c>
      <c r="E25" s="174" t="s">
        <v>71</v>
      </c>
      <c r="F25" s="175" t="s">
        <v>22</v>
      </c>
      <c r="G25" s="175"/>
      <c r="H25" s="176" t="s">
        <v>179</v>
      </c>
    </row>
    <row r="26" spans="1:8" s="250" customFormat="1" ht="15.75">
      <c r="A26" s="177"/>
      <c r="B26" s="178"/>
      <c r="C26" s="178"/>
      <c r="D26" s="179"/>
      <c r="E26" s="174" t="s">
        <v>24</v>
      </c>
      <c r="F26" s="175" t="s">
        <v>22</v>
      </c>
      <c r="G26" s="175"/>
      <c r="H26" s="683"/>
    </row>
    <row r="27" spans="1:8" s="250" customFormat="1" ht="15.75">
      <c r="A27" s="180"/>
      <c r="B27" s="179"/>
      <c r="C27" s="179"/>
      <c r="D27" s="174" t="s">
        <v>25</v>
      </c>
      <c r="E27" s="174"/>
      <c r="F27" s="175" t="s">
        <v>22</v>
      </c>
      <c r="G27" s="175"/>
      <c r="H27" s="684"/>
    </row>
    <row r="28" spans="1:8" s="250" customFormat="1" ht="15.75">
      <c r="A28" s="172">
        <v>4</v>
      </c>
      <c r="B28" s="174" t="s">
        <v>522</v>
      </c>
      <c r="C28" s="169" t="s">
        <v>523</v>
      </c>
      <c r="D28" s="170"/>
      <c r="E28" s="170"/>
      <c r="F28" s="170"/>
      <c r="G28" s="170"/>
      <c r="H28" s="171"/>
    </row>
    <row r="29" spans="1:8" s="250" customFormat="1" ht="15.75">
      <c r="A29" s="177"/>
      <c r="B29" s="173"/>
      <c r="C29" s="181" t="s">
        <v>524</v>
      </c>
      <c r="D29" s="182" t="s">
        <v>20</v>
      </c>
      <c r="E29" s="174" t="s">
        <v>71</v>
      </c>
      <c r="F29" s="183">
        <v>5353</v>
      </c>
      <c r="G29" s="184">
        <f>F29*1.2</f>
        <v>6423.599999999999</v>
      </c>
      <c r="H29" s="176" t="s">
        <v>525</v>
      </c>
    </row>
    <row r="30" spans="1:8" s="250" customFormat="1" ht="15.75">
      <c r="A30" s="177"/>
      <c r="B30" s="178"/>
      <c r="C30" s="181"/>
      <c r="D30" s="182" t="s">
        <v>20</v>
      </c>
      <c r="E30" s="174" t="s">
        <v>115</v>
      </c>
      <c r="F30" s="183">
        <v>6959</v>
      </c>
      <c r="G30" s="184">
        <f aca="true" t="shared" si="0" ref="G30:G52">F30*1.2</f>
        <v>8350.8</v>
      </c>
      <c r="H30" s="683"/>
    </row>
    <row r="31" spans="1:8" s="250" customFormat="1" ht="15.75">
      <c r="A31" s="177"/>
      <c r="B31" s="178"/>
      <c r="C31" s="181" t="s">
        <v>526</v>
      </c>
      <c r="D31" s="182" t="s">
        <v>20</v>
      </c>
      <c r="E31" s="174" t="s">
        <v>71</v>
      </c>
      <c r="F31" s="183">
        <v>7405</v>
      </c>
      <c r="G31" s="184">
        <f t="shared" si="0"/>
        <v>8886</v>
      </c>
      <c r="H31" s="683"/>
    </row>
    <row r="32" spans="1:8" s="250" customFormat="1" ht="15.75">
      <c r="A32" s="177"/>
      <c r="B32" s="178"/>
      <c r="C32" s="181"/>
      <c r="D32" s="182" t="s">
        <v>20</v>
      </c>
      <c r="E32" s="174" t="s">
        <v>115</v>
      </c>
      <c r="F32" s="183">
        <v>10051</v>
      </c>
      <c r="G32" s="184">
        <f t="shared" si="0"/>
        <v>12061.199999999999</v>
      </c>
      <c r="H32" s="683"/>
    </row>
    <row r="33" spans="1:8" s="250" customFormat="1" ht="15.75">
      <c r="A33" s="177"/>
      <c r="B33" s="178"/>
      <c r="C33" s="181" t="s">
        <v>527</v>
      </c>
      <c r="D33" s="182" t="s">
        <v>20</v>
      </c>
      <c r="E33" s="174" t="s">
        <v>71</v>
      </c>
      <c r="F33" s="183">
        <v>8743</v>
      </c>
      <c r="G33" s="184">
        <f t="shared" si="0"/>
        <v>10491.6</v>
      </c>
      <c r="H33" s="683"/>
    </row>
    <row r="34" spans="1:8" s="250" customFormat="1" ht="15.75">
      <c r="A34" s="177"/>
      <c r="B34" s="178"/>
      <c r="C34" s="181"/>
      <c r="D34" s="182" t="s">
        <v>20</v>
      </c>
      <c r="E34" s="174" t="s">
        <v>115</v>
      </c>
      <c r="F34" s="183">
        <v>11514</v>
      </c>
      <c r="G34" s="184">
        <f t="shared" si="0"/>
        <v>13816.8</v>
      </c>
      <c r="H34" s="683"/>
    </row>
    <row r="35" spans="1:8" s="250" customFormat="1" ht="15.75">
      <c r="A35" s="177"/>
      <c r="B35" s="178"/>
      <c r="C35" s="181" t="s">
        <v>528</v>
      </c>
      <c r="D35" s="182" t="s">
        <v>20</v>
      </c>
      <c r="E35" s="174" t="s">
        <v>71</v>
      </c>
      <c r="F35" s="183">
        <v>9814</v>
      </c>
      <c r="G35" s="184">
        <f t="shared" si="0"/>
        <v>11776.8</v>
      </c>
      <c r="H35" s="683"/>
    </row>
    <row r="36" spans="1:8" s="250" customFormat="1" ht="15.75">
      <c r="A36" s="177"/>
      <c r="B36" s="178"/>
      <c r="C36" s="181"/>
      <c r="D36" s="182" t="s">
        <v>20</v>
      </c>
      <c r="E36" s="174" t="s">
        <v>115</v>
      </c>
      <c r="F36" s="183">
        <v>12044</v>
      </c>
      <c r="G36" s="184">
        <f t="shared" si="0"/>
        <v>14452.8</v>
      </c>
      <c r="H36" s="683"/>
    </row>
    <row r="37" spans="1:8" s="250" customFormat="1" ht="15.75">
      <c r="A37" s="177"/>
      <c r="B37" s="178"/>
      <c r="C37" s="181" t="s">
        <v>529</v>
      </c>
      <c r="D37" s="182" t="s">
        <v>20</v>
      </c>
      <c r="E37" s="174" t="s">
        <v>71</v>
      </c>
      <c r="F37" s="183">
        <v>10932</v>
      </c>
      <c r="G37" s="184">
        <f t="shared" si="0"/>
        <v>13118.4</v>
      </c>
      <c r="H37" s="683"/>
    </row>
    <row r="38" spans="1:8" s="250" customFormat="1" ht="15.75">
      <c r="A38" s="177"/>
      <c r="B38" s="178"/>
      <c r="C38" s="181"/>
      <c r="D38" s="182" t="s">
        <v>20</v>
      </c>
      <c r="E38" s="174" t="s">
        <v>115</v>
      </c>
      <c r="F38" s="183">
        <v>12439</v>
      </c>
      <c r="G38" s="184">
        <f t="shared" si="0"/>
        <v>14926.8</v>
      </c>
      <c r="H38" s="683"/>
    </row>
    <row r="39" spans="1:8" s="250" customFormat="1" ht="15.75">
      <c r="A39" s="177"/>
      <c r="B39" s="178"/>
      <c r="C39" s="181" t="s">
        <v>530</v>
      </c>
      <c r="D39" s="182" t="s">
        <v>20</v>
      </c>
      <c r="E39" s="174" t="s">
        <v>71</v>
      </c>
      <c r="F39" s="183">
        <v>13585</v>
      </c>
      <c r="G39" s="184">
        <f t="shared" si="0"/>
        <v>16302</v>
      </c>
      <c r="H39" s="683"/>
    </row>
    <row r="40" spans="1:8" s="250" customFormat="1" ht="15.75">
      <c r="A40" s="177"/>
      <c r="B40" s="178"/>
      <c r="C40" s="181"/>
      <c r="D40" s="182" t="s">
        <v>20</v>
      </c>
      <c r="E40" s="174" t="s">
        <v>115</v>
      </c>
      <c r="F40" s="183">
        <v>15590</v>
      </c>
      <c r="G40" s="184">
        <f t="shared" si="0"/>
        <v>18708</v>
      </c>
      <c r="H40" s="683"/>
    </row>
    <row r="41" spans="1:8" s="250" customFormat="1" ht="15.75">
      <c r="A41" s="177"/>
      <c r="B41" s="178"/>
      <c r="C41" s="181" t="s">
        <v>531</v>
      </c>
      <c r="D41" s="182" t="s">
        <v>20</v>
      </c>
      <c r="E41" s="174" t="s">
        <v>71</v>
      </c>
      <c r="F41" s="183">
        <v>17957</v>
      </c>
      <c r="G41" s="184">
        <f t="shared" si="0"/>
        <v>21548.399999999998</v>
      </c>
      <c r="H41" s="683"/>
    </row>
    <row r="42" spans="1:8" s="250" customFormat="1" ht="15.75">
      <c r="A42" s="177"/>
      <c r="B42" s="178"/>
      <c r="C42" s="181"/>
      <c r="D42" s="182" t="s">
        <v>20</v>
      </c>
      <c r="E42" s="174" t="s">
        <v>115</v>
      </c>
      <c r="F42" s="183">
        <v>20609</v>
      </c>
      <c r="G42" s="184">
        <f t="shared" si="0"/>
        <v>24730.8</v>
      </c>
      <c r="H42" s="683"/>
    </row>
    <row r="43" spans="1:8" s="250" customFormat="1" ht="15.75">
      <c r="A43" s="177"/>
      <c r="B43" s="178"/>
      <c r="C43" s="181" t="s">
        <v>532</v>
      </c>
      <c r="D43" s="182" t="s">
        <v>20</v>
      </c>
      <c r="E43" s="174" t="s">
        <v>71</v>
      </c>
      <c r="F43" s="183">
        <v>21081</v>
      </c>
      <c r="G43" s="184">
        <f t="shared" si="0"/>
        <v>25297.2</v>
      </c>
      <c r="H43" s="683"/>
    </row>
    <row r="44" spans="1:8" s="250" customFormat="1" ht="15.75">
      <c r="A44" s="177"/>
      <c r="B44" s="178"/>
      <c r="C44" s="181"/>
      <c r="D44" s="182" t="s">
        <v>20</v>
      </c>
      <c r="E44" s="174" t="s">
        <v>115</v>
      </c>
      <c r="F44" s="183">
        <v>24192</v>
      </c>
      <c r="G44" s="184">
        <f t="shared" si="0"/>
        <v>29030.399999999998</v>
      </c>
      <c r="H44" s="683"/>
    </row>
    <row r="45" spans="1:8" s="250" customFormat="1" ht="15.75">
      <c r="A45" s="177"/>
      <c r="B45" s="178"/>
      <c r="C45" s="181" t="s">
        <v>533</v>
      </c>
      <c r="D45" s="182" t="s">
        <v>20</v>
      </c>
      <c r="E45" s="174" t="s">
        <v>71</v>
      </c>
      <c r="F45" s="183">
        <v>25766</v>
      </c>
      <c r="G45" s="184">
        <f t="shared" si="0"/>
        <v>30919.199999999997</v>
      </c>
      <c r="H45" s="683"/>
    </row>
    <row r="46" spans="1:8" s="250" customFormat="1" ht="15.75">
      <c r="A46" s="177"/>
      <c r="B46" s="178"/>
      <c r="C46" s="181"/>
      <c r="D46" s="182" t="s">
        <v>20</v>
      </c>
      <c r="E46" s="174" t="s">
        <v>115</v>
      </c>
      <c r="F46" s="183">
        <v>29569</v>
      </c>
      <c r="G46" s="184">
        <f t="shared" si="0"/>
        <v>35482.799999999996</v>
      </c>
      <c r="H46" s="683"/>
    </row>
    <row r="47" spans="1:8" s="250" customFormat="1" ht="15.75">
      <c r="A47" s="177"/>
      <c r="B47" s="178"/>
      <c r="C47" s="181" t="s">
        <v>534</v>
      </c>
      <c r="D47" s="182" t="s">
        <v>20</v>
      </c>
      <c r="E47" s="174" t="s">
        <v>71</v>
      </c>
      <c r="F47" s="183">
        <v>28889</v>
      </c>
      <c r="G47" s="184">
        <f t="shared" si="0"/>
        <v>34666.799999999996</v>
      </c>
      <c r="H47" s="683"/>
    </row>
    <row r="48" spans="1:8" s="250" customFormat="1" ht="15.75">
      <c r="A48" s="177"/>
      <c r="B48" s="178"/>
      <c r="C48" s="181"/>
      <c r="D48" s="182" t="s">
        <v>20</v>
      </c>
      <c r="E48" s="174" t="s">
        <v>115</v>
      </c>
      <c r="F48" s="183">
        <v>33153</v>
      </c>
      <c r="G48" s="184">
        <f t="shared" si="0"/>
        <v>39783.6</v>
      </c>
      <c r="H48" s="683"/>
    </row>
    <row r="49" spans="1:8" s="250" customFormat="1" ht="15.75">
      <c r="A49" s="177"/>
      <c r="B49" s="178"/>
      <c r="C49" s="181" t="s">
        <v>535</v>
      </c>
      <c r="D49" s="182" t="s">
        <v>20</v>
      </c>
      <c r="E49" s="174" t="s">
        <v>71</v>
      </c>
      <c r="F49" s="183">
        <v>33574</v>
      </c>
      <c r="G49" s="184">
        <f t="shared" si="0"/>
        <v>40288.799999999996</v>
      </c>
      <c r="H49" s="683"/>
    </row>
    <row r="50" spans="1:8" s="250" customFormat="1" ht="15.75">
      <c r="A50" s="177"/>
      <c r="B50" s="178"/>
      <c r="C50" s="181"/>
      <c r="D50" s="182" t="s">
        <v>20</v>
      </c>
      <c r="E50" s="174" t="s">
        <v>115</v>
      </c>
      <c r="F50" s="183">
        <v>38529</v>
      </c>
      <c r="G50" s="184">
        <f t="shared" si="0"/>
        <v>46234.799999999996</v>
      </c>
      <c r="H50" s="683"/>
    </row>
    <row r="51" spans="1:8" s="250" customFormat="1" ht="15.75">
      <c r="A51" s="177"/>
      <c r="B51" s="178"/>
      <c r="C51" s="181" t="s">
        <v>536</v>
      </c>
      <c r="D51" s="182" t="s">
        <v>20</v>
      </c>
      <c r="E51" s="174" t="s">
        <v>71</v>
      </c>
      <c r="F51" s="183">
        <v>44800</v>
      </c>
      <c r="G51" s="184">
        <f t="shared" si="0"/>
        <v>53760</v>
      </c>
      <c r="H51" s="683"/>
    </row>
    <row r="52" spans="1:8" s="250" customFormat="1" ht="15.75">
      <c r="A52" s="177"/>
      <c r="B52" s="178"/>
      <c r="C52" s="181"/>
      <c r="D52" s="182" t="s">
        <v>20</v>
      </c>
      <c r="E52" s="174" t="s">
        <v>115</v>
      </c>
      <c r="F52" s="183">
        <v>49281</v>
      </c>
      <c r="G52" s="184">
        <f t="shared" si="0"/>
        <v>59137.2</v>
      </c>
      <c r="H52" s="684"/>
    </row>
    <row r="53" spans="1:8" s="250" customFormat="1" ht="63">
      <c r="A53" s="177"/>
      <c r="B53" s="178"/>
      <c r="C53" s="185" t="s">
        <v>537</v>
      </c>
      <c r="D53" s="185" t="s">
        <v>20</v>
      </c>
      <c r="E53" s="186" t="s">
        <v>538</v>
      </c>
      <c r="F53" s="187">
        <v>2503</v>
      </c>
      <c r="G53" s="188">
        <f>F53*1.2</f>
        <v>3003.6</v>
      </c>
      <c r="H53" s="496" t="s">
        <v>539</v>
      </c>
    </row>
    <row r="54" spans="1:8" s="250" customFormat="1" ht="15.75">
      <c r="A54" s="189">
        <v>5</v>
      </c>
      <c r="B54" s="190" t="s">
        <v>51</v>
      </c>
      <c r="C54" s="169" t="s">
        <v>52</v>
      </c>
      <c r="D54" s="170"/>
      <c r="E54" s="170"/>
      <c r="F54" s="170"/>
      <c r="G54" s="168"/>
      <c r="H54" s="427"/>
    </row>
    <row r="55" spans="1:8" s="250" customFormat="1" ht="15.75">
      <c r="A55" s="191"/>
      <c r="B55" s="192"/>
      <c r="C55" s="173" t="s">
        <v>53</v>
      </c>
      <c r="D55" s="193" t="s">
        <v>20</v>
      </c>
      <c r="E55" s="194" t="s">
        <v>21</v>
      </c>
      <c r="F55" s="195">
        <v>6462</v>
      </c>
      <c r="G55" s="195">
        <f aca="true" t="shared" si="1" ref="G55:G60">F55*1.2</f>
        <v>7754.4</v>
      </c>
      <c r="H55" s="427" t="s">
        <v>540</v>
      </c>
    </row>
    <row r="56" spans="1:8" s="250" customFormat="1" ht="15.75">
      <c r="A56" s="191"/>
      <c r="B56" s="192"/>
      <c r="C56" s="178"/>
      <c r="D56" s="193" t="s">
        <v>20</v>
      </c>
      <c r="E56" s="194" t="s">
        <v>76</v>
      </c>
      <c r="F56" s="195">
        <v>6644</v>
      </c>
      <c r="G56" s="195">
        <f t="shared" si="1"/>
        <v>7972.799999999999</v>
      </c>
      <c r="H56" s="427" t="s">
        <v>541</v>
      </c>
    </row>
    <row r="57" spans="1:8" s="250" customFormat="1" ht="15.75">
      <c r="A57" s="191"/>
      <c r="B57" s="192"/>
      <c r="C57" s="179"/>
      <c r="D57" s="193" t="s">
        <v>20</v>
      </c>
      <c r="E57" s="194" t="s">
        <v>221</v>
      </c>
      <c r="F57" s="195">
        <v>6664</v>
      </c>
      <c r="G57" s="195">
        <f t="shared" si="1"/>
        <v>7996.799999999999</v>
      </c>
      <c r="H57" s="427"/>
    </row>
    <row r="58" spans="1:8" s="250" customFormat="1" ht="15.75">
      <c r="A58" s="191"/>
      <c r="B58" s="192"/>
      <c r="C58" s="173" t="s">
        <v>56</v>
      </c>
      <c r="D58" s="193" t="s">
        <v>20</v>
      </c>
      <c r="E58" s="194" t="s">
        <v>21</v>
      </c>
      <c r="F58" s="195">
        <v>4392</v>
      </c>
      <c r="G58" s="195">
        <f t="shared" si="1"/>
        <v>5270.4</v>
      </c>
      <c r="H58" s="427" t="s">
        <v>540</v>
      </c>
    </row>
    <row r="59" spans="1:8" s="250" customFormat="1" ht="15.75">
      <c r="A59" s="191"/>
      <c r="B59" s="192"/>
      <c r="C59" s="178"/>
      <c r="D59" s="193" t="s">
        <v>20</v>
      </c>
      <c r="E59" s="194" t="s">
        <v>542</v>
      </c>
      <c r="F59" s="195">
        <v>4574</v>
      </c>
      <c r="G59" s="195">
        <f t="shared" si="1"/>
        <v>5488.8</v>
      </c>
      <c r="H59" s="427" t="s">
        <v>541</v>
      </c>
    </row>
    <row r="60" spans="1:8" s="250" customFormat="1" ht="15.75">
      <c r="A60" s="191"/>
      <c r="B60" s="192"/>
      <c r="C60" s="179"/>
      <c r="D60" s="193" t="s">
        <v>20</v>
      </c>
      <c r="E60" s="194" t="s">
        <v>221</v>
      </c>
      <c r="F60" s="195">
        <v>4574</v>
      </c>
      <c r="G60" s="195">
        <f t="shared" si="1"/>
        <v>5488.8</v>
      </c>
      <c r="H60" s="427"/>
    </row>
    <row r="61" spans="1:8" s="250" customFormat="1" ht="15.75">
      <c r="A61" s="196">
        <v>6</v>
      </c>
      <c r="B61" s="32" t="s">
        <v>59</v>
      </c>
      <c r="C61" s="175" t="s">
        <v>60</v>
      </c>
      <c r="D61" s="197" t="s">
        <v>20</v>
      </c>
      <c r="E61" s="194" t="s">
        <v>76</v>
      </c>
      <c r="F61" s="198" t="s">
        <v>543</v>
      </c>
      <c r="G61" s="198"/>
      <c r="H61" s="427"/>
    </row>
    <row r="62" spans="1:8" s="250" customFormat="1" ht="15.75">
      <c r="A62" s="199"/>
      <c r="B62" s="39"/>
      <c r="C62" s="175"/>
      <c r="D62" s="197"/>
      <c r="E62" s="194" t="s">
        <v>24</v>
      </c>
      <c r="F62" s="198" t="s">
        <v>544</v>
      </c>
      <c r="G62" s="198"/>
      <c r="H62" s="427"/>
    </row>
    <row r="63" spans="1:8" s="250" customFormat="1" ht="16.5" thickBot="1">
      <c r="A63" s="200"/>
      <c r="B63" s="38"/>
      <c r="C63" s="175"/>
      <c r="D63" s="193" t="s">
        <v>25</v>
      </c>
      <c r="E63" s="194"/>
      <c r="F63" s="198" t="s">
        <v>543</v>
      </c>
      <c r="G63" s="198"/>
      <c r="H63" s="427"/>
    </row>
    <row r="64" spans="1:8" s="250" customFormat="1" ht="15.75">
      <c r="A64" s="201" t="s">
        <v>545</v>
      </c>
      <c r="B64" s="202"/>
      <c r="C64" s="202"/>
      <c r="D64" s="202"/>
      <c r="E64" s="202"/>
      <c r="F64" s="202"/>
      <c r="G64" s="202"/>
      <c r="H64" s="203"/>
    </row>
    <row r="65" spans="1:8" s="250" customFormat="1" ht="15.75">
      <c r="A65" s="204" t="s">
        <v>62</v>
      </c>
      <c r="B65" s="205"/>
      <c r="C65" s="169" t="s">
        <v>546</v>
      </c>
      <c r="D65" s="170"/>
      <c r="E65" s="170"/>
      <c r="F65" s="170"/>
      <c r="G65" s="170"/>
      <c r="H65" s="171"/>
    </row>
    <row r="66" spans="1:8" s="250" customFormat="1" ht="15.75">
      <c r="A66" s="206" t="s">
        <v>64</v>
      </c>
      <c r="B66" s="207"/>
      <c r="C66" s="169" t="s">
        <v>65</v>
      </c>
      <c r="D66" s="170"/>
      <c r="E66" s="170"/>
      <c r="F66" s="170"/>
      <c r="G66" s="170"/>
      <c r="H66" s="171"/>
    </row>
    <row r="67" spans="1:8" s="250" customFormat="1" ht="31.5">
      <c r="A67" s="208">
        <v>7</v>
      </c>
      <c r="B67" s="209" t="s">
        <v>547</v>
      </c>
      <c r="C67" s="174" t="s">
        <v>548</v>
      </c>
      <c r="D67" s="174" t="s">
        <v>25</v>
      </c>
      <c r="E67" s="174"/>
      <c r="F67" s="175" t="s">
        <v>22</v>
      </c>
      <c r="G67" s="175"/>
      <c r="H67" s="496"/>
    </row>
    <row r="68" spans="1:8" s="250" customFormat="1" ht="15.75">
      <c r="A68" s="172">
        <v>8</v>
      </c>
      <c r="B68" s="210" t="s">
        <v>549</v>
      </c>
      <c r="C68" s="173" t="s">
        <v>550</v>
      </c>
      <c r="D68" s="173" t="s">
        <v>20</v>
      </c>
      <c r="E68" s="174" t="s">
        <v>551</v>
      </c>
      <c r="F68" s="175" t="s">
        <v>22</v>
      </c>
      <c r="G68" s="175"/>
      <c r="H68" s="496"/>
    </row>
    <row r="69" spans="1:8" s="250" customFormat="1" ht="15.75">
      <c r="A69" s="180"/>
      <c r="B69" s="211"/>
      <c r="C69" s="179"/>
      <c r="D69" s="179"/>
      <c r="E69" s="174" t="s">
        <v>24</v>
      </c>
      <c r="F69" s="175" t="s">
        <v>22</v>
      </c>
      <c r="G69" s="175"/>
      <c r="H69" s="497"/>
    </row>
    <row r="70" spans="1:8" s="250" customFormat="1" ht="15.75">
      <c r="A70" s="172">
        <v>9</v>
      </c>
      <c r="B70" s="212" t="s">
        <v>66</v>
      </c>
      <c r="C70" s="32" t="s">
        <v>67</v>
      </c>
      <c r="D70" s="213" t="s">
        <v>68</v>
      </c>
      <c r="E70" s="194" t="s">
        <v>71</v>
      </c>
      <c r="F70" s="214">
        <v>134</v>
      </c>
      <c r="G70" s="214">
        <f aca="true" t="shared" si="2" ref="G70:G77">F70*1.2</f>
        <v>160.79999999999998</v>
      </c>
      <c r="H70" s="519" t="s">
        <v>73</v>
      </c>
    </row>
    <row r="71" spans="1:8" s="250" customFormat="1" ht="15.75">
      <c r="A71" s="177"/>
      <c r="B71" s="215"/>
      <c r="C71" s="39"/>
      <c r="D71" s="213"/>
      <c r="E71" s="194" t="s">
        <v>24</v>
      </c>
      <c r="F71" s="195">
        <v>231</v>
      </c>
      <c r="G71" s="214">
        <f t="shared" si="2"/>
        <v>277.2</v>
      </c>
      <c r="H71" s="554"/>
    </row>
    <row r="72" spans="1:8" s="250" customFormat="1" ht="15.75">
      <c r="A72" s="177"/>
      <c r="B72" s="215"/>
      <c r="C72" s="39"/>
      <c r="D72" s="9" t="s">
        <v>68</v>
      </c>
      <c r="E72" s="194" t="s">
        <v>21</v>
      </c>
      <c r="F72" s="195">
        <v>697</v>
      </c>
      <c r="G72" s="214">
        <f t="shared" si="2"/>
        <v>836.4</v>
      </c>
      <c r="H72" s="519" t="s">
        <v>75</v>
      </c>
    </row>
    <row r="73" spans="1:8" s="250" customFormat="1" ht="15.75">
      <c r="A73" s="177"/>
      <c r="B73" s="215"/>
      <c r="C73" s="39"/>
      <c r="D73" s="9" t="s">
        <v>68</v>
      </c>
      <c r="E73" s="194" t="s">
        <v>24</v>
      </c>
      <c r="F73" s="195">
        <v>1201</v>
      </c>
      <c r="G73" s="214">
        <f t="shared" si="2"/>
        <v>1441.2</v>
      </c>
      <c r="H73" s="373"/>
    </row>
    <row r="74" spans="1:8" s="250" customFormat="1" ht="15.75">
      <c r="A74" s="177"/>
      <c r="B74" s="215"/>
      <c r="C74" s="39"/>
      <c r="D74" s="9" t="s">
        <v>68</v>
      </c>
      <c r="E74" s="194" t="s">
        <v>21</v>
      </c>
      <c r="F74" s="195">
        <v>1045</v>
      </c>
      <c r="G74" s="214">
        <f t="shared" si="2"/>
        <v>1254</v>
      </c>
      <c r="H74" s="429" t="s">
        <v>77</v>
      </c>
    </row>
    <row r="75" spans="1:8" s="250" customFormat="1" ht="15.75">
      <c r="A75" s="177"/>
      <c r="B75" s="215"/>
      <c r="C75" s="39"/>
      <c r="D75" s="9" t="s">
        <v>68</v>
      </c>
      <c r="E75" s="194" t="s">
        <v>24</v>
      </c>
      <c r="F75" s="195">
        <v>1802</v>
      </c>
      <c r="G75" s="214">
        <f t="shared" si="2"/>
        <v>2162.4</v>
      </c>
      <c r="H75" s="434"/>
    </row>
    <row r="76" spans="1:8" s="250" customFormat="1" ht="63">
      <c r="A76" s="177"/>
      <c r="B76" s="215"/>
      <c r="C76" s="39"/>
      <c r="D76" s="213" t="s">
        <v>210</v>
      </c>
      <c r="E76" s="194" t="s">
        <v>25</v>
      </c>
      <c r="F76" s="216">
        <v>2112</v>
      </c>
      <c r="G76" s="214">
        <f t="shared" si="2"/>
        <v>2534.4</v>
      </c>
      <c r="H76" s="667" t="s">
        <v>211</v>
      </c>
    </row>
    <row r="77" spans="1:8" s="250" customFormat="1" ht="63">
      <c r="A77" s="177"/>
      <c r="B77" s="215"/>
      <c r="C77" s="39"/>
      <c r="D77" s="213"/>
      <c r="E77" s="194" t="s">
        <v>25</v>
      </c>
      <c r="F77" s="216">
        <v>3168</v>
      </c>
      <c r="G77" s="214">
        <f t="shared" si="2"/>
        <v>3801.6</v>
      </c>
      <c r="H77" s="667" t="s">
        <v>212</v>
      </c>
    </row>
    <row r="78" spans="1:8" s="250" customFormat="1" ht="15.75">
      <c r="A78" s="177"/>
      <c r="B78" s="215"/>
      <c r="C78" s="39"/>
      <c r="D78" s="9" t="s">
        <v>68</v>
      </c>
      <c r="E78" s="376" t="s">
        <v>20</v>
      </c>
      <c r="F78" s="33" t="s">
        <v>22</v>
      </c>
      <c r="G78" s="34"/>
      <c r="H78" s="552" t="s">
        <v>552</v>
      </c>
    </row>
    <row r="79" spans="1:8" s="250" customFormat="1" ht="15.75">
      <c r="A79" s="180"/>
      <c r="B79" s="217"/>
      <c r="C79" s="38"/>
      <c r="D79" s="287" t="s">
        <v>70</v>
      </c>
      <c r="E79" s="376" t="s">
        <v>25</v>
      </c>
      <c r="F79" s="33" t="s">
        <v>22</v>
      </c>
      <c r="G79" s="34"/>
      <c r="H79" s="565"/>
    </row>
    <row r="80" spans="1:8" s="250" customFormat="1" ht="15.75">
      <c r="A80" s="204" t="s">
        <v>81</v>
      </c>
      <c r="B80" s="205"/>
      <c r="C80" s="169" t="s">
        <v>82</v>
      </c>
      <c r="D80" s="170"/>
      <c r="E80" s="170"/>
      <c r="F80" s="170"/>
      <c r="G80" s="170"/>
      <c r="H80" s="171"/>
    </row>
    <row r="81" spans="1:8" s="250" customFormat="1" ht="15.75">
      <c r="A81" s="172">
        <v>10</v>
      </c>
      <c r="B81" s="209" t="s">
        <v>83</v>
      </c>
      <c r="C81" s="218" t="s">
        <v>553</v>
      </c>
      <c r="D81" s="219"/>
      <c r="E81" s="219"/>
      <c r="F81" s="219"/>
      <c r="G81" s="219"/>
      <c r="H81" s="220"/>
    </row>
    <row r="82" spans="1:8" s="250" customFormat="1" ht="63">
      <c r="A82" s="177"/>
      <c r="B82" s="221"/>
      <c r="C82" s="186" t="s">
        <v>554</v>
      </c>
      <c r="D82" s="175" t="s">
        <v>555</v>
      </c>
      <c r="E82" s="173" t="s">
        <v>76</v>
      </c>
      <c r="F82" s="222">
        <v>1284</v>
      </c>
      <c r="G82" s="222">
        <f>F82*1.2</f>
        <v>1540.8</v>
      </c>
      <c r="H82" s="176" t="s">
        <v>216</v>
      </c>
    </row>
    <row r="83" spans="1:8" s="250" customFormat="1" ht="63">
      <c r="A83" s="177"/>
      <c r="B83" s="221"/>
      <c r="C83" s="174" t="s">
        <v>556</v>
      </c>
      <c r="D83" s="175"/>
      <c r="E83" s="685"/>
      <c r="F83" s="222">
        <v>1375</v>
      </c>
      <c r="G83" s="222">
        <f>F83*1.2</f>
        <v>1650</v>
      </c>
      <c r="H83" s="686"/>
    </row>
    <row r="84" spans="1:8" s="250" customFormat="1" ht="47.25">
      <c r="A84" s="177"/>
      <c r="B84" s="221"/>
      <c r="C84" s="223" t="s">
        <v>557</v>
      </c>
      <c r="D84" s="175"/>
      <c r="E84" s="641"/>
      <c r="F84" s="222">
        <v>1035</v>
      </c>
      <c r="G84" s="222">
        <f>F84*1.2</f>
        <v>1242</v>
      </c>
      <c r="H84" s="684"/>
    </row>
    <row r="85" spans="1:8" s="250" customFormat="1" ht="47.25">
      <c r="A85" s="177"/>
      <c r="B85" s="221"/>
      <c r="C85" s="186" t="s">
        <v>558</v>
      </c>
      <c r="D85" s="175"/>
      <c r="E85" s="173" t="s">
        <v>115</v>
      </c>
      <c r="F85" s="222">
        <v>1375</v>
      </c>
      <c r="G85" s="222">
        <f>F85*1.2</f>
        <v>1650</v>
      </c>
      <c r="H85" s="687"/>
    </row>
    <row r="86" spans="1:8" s="250" customFormat="1" ht="47.25">
      <c r="A86" s="177"/>
      <c r="B86" s="221"/>
      <c r="C86" s="186" t="s">
        <v>557</v>
      </c>
      <c r="D86" s="175"/>
      <c r="E86" s="641"/>
      <c r="F86" s="222">
        <v>1045</v>
      </c>
      <c r="G86" s="222">
        <f>F86*1.2</f>
        <v>1254</v>
      </c>
      <c r="H86" s="613"/>
    </row>
    <row r="87" spans="1:8" s="250" customFormat="1" ht="15.75">
      <c r="A87" s="172">
        <v>11</v>
      </c>
      <c r="B87" s="209" t="s">
        <v>93</v>
      </c>
      <c r="C87" s="218" t="s">
        <v>94</v>
      </c>
      <c r="D87" s="219"/>
      <c r="E87" s="219"/>
      <c r="F87" s="219"/>
      <c r="G87" s="219"/>
      <c r="H87" s="220"/>
    </row>
    <row r="88" spans="1:8" s="250" customFormat="1" ht="15.75">
      <c r="A88" s="177"/>
      <c r="B88" s="210"/>
      <c r="C88" s="175" t="s">
        <v>559</v>
      </c>
      <c r="D88" s="175" t="s">
        <v>560</v>
      </c>
      <c r="E88" s="174" t="s">
        <v>71</v>
      </c>
      <c r="F88" s="195">
        <v>141</v>
      </c>
      <c r="G88" s="195">
        <f>F88*1.2</f>
        <v>169.2</v>
      </c>
      <c r="H88" s="688"/>
    </row>
    <row r="89" spans="1:8" s="250" customFormat="1" ht="15.75">
      <c r="A89" s="180"/>
      <c r="B89" s="211"/>
      <c r="C89" s="175"/>
      <c r="D89" s="175"/>
      <c r="E89" s="174" t="s">
        <v>115</v>
      </c>
      <c r="F89" s="195">
        <v>280</v>
      </c>
      <c r="G89" s="195">
        <f>F89*1.2</f>
        <v>336</v>
      </c>
      <c r="H89" s="688"/>
    </row>
    <row r="90" spans="1:8" s="250" customFormat="1" ht="31.5">
      <c r="A90" s="224">
        <v>12</v>
      </c>
      <c r="B90" s="225" t="s">
        <v>107</v>
      </c>
      <c r="C90" s="317" t="s">
        <v>421</v>
      </c>
      <c r="D90" s="317" t="s">
        <v>109</v>
      </c>
      <c r="E90" s="174" t="s">
        <v>538</v>
      </c>
      <c r="F90" s="194">
        <v>468</v>
      </c>
      <c r="G90" s="195">
        <f>F90*1.2</f>
        <v>561.6</v>
      </c>
      <c r="H90" s="605" t="s">
        <v>422</v>
      </c>
    </row>
    <row r="91" spans="1:8" s="250" customFormat="1" ht="63">
      <c r="A91" s="491">
        <v>13</v>
      </c>
      <c r="B91" s="492" t="s">
        <v>316</v>
      </c>
      <c r="C91" s="317" t="s">
        <v>393</v>
      </c>
      <c r="D91" s="228" t="s">
        <v>118</v>
      </c>
      <c r="E91" s="228"/>
      <c r="F91" s="644" t="s">
        <v>126</v>
      </c>
      <c r="G91" s="645"/>
      <c r="H91" s="646" t="s">
        <v>128</v>
      </c>
    </row>
    <row r="92" spans="1:8" s="250" customFormat="1" ht="15.75">
      <c r="A92" s="167" t="s">
        <v>129</v>
      </c>
      <c r="B92" s="168"/>
      <c r="C92" s="169" t="s">
        <v>561</v>
      </c>
      <c r="D92" s="170"/>
      <c r="E92" s="170"/>
      <c r="F92" s="170"/>
      <c r="G92" s="170"/>
      <c r="H92" s="171"/>
    </row>
    <row r="93" spans="1:8" s="250" customFormat="1" ht="15.75">
      <c r="A93" s="177">
        <v>14</v>
      </c>
      <c r="B93" s="689" t="s">
        <v>139</v>
      </c>
      <c r="C93" s="173" t="s">
        <v>330</v>
      </c>
      <c r="D93" s="173" t="s">
        <v>20</v>
      </c>
      <c r="E93" s="173" t="s">
        <v>105</v>
      </c>
      <c r="F93" s="226" t="s">
        <v>22</v>
      </c>
      <c r="G93" s="227"/>
      <c r="H93" s="176" t="s">
        <v>562</v>
      </c>
    </row>
    <row r="94" spans="1:8" s="250" customFormat="1" ht="15.75">
      <c r="A94" s="177"/>
      <c r="B94" s="690"/>
      <c r="C94" s="179"/>
      <c r="D94" s="641"/>
      <c r="E94" s="641"/>
      <c r="F94" s="691"/>
      <c r="G94" s="692"/>
      <c r="H94" s="686"/>
    </row>
    <row r="95" spans="1:8" s="250" customFormat="1" ht="47.25">
      <c r="A95" s="208">
        <v>15</v>
      </c>
      <c r="B95" s="174" t="s">
        <v>142</v>
      </c>
      <c r="C95" s="228" t="s">
        <v>143</v>
      </c>
      <c r="D95" s="228" t="s">
        <v>20</v>
      </c>
      <c r="E95" s="228" t="s">
        <v>105</v>
      </c>
      <c r="F95" s="229" t="s">
        <v>563</v>
      </c>
      <c r="G95" s="230"/>
      <c r="H95" s="231" t="s">
        <v>425</v>
      </c>
    </row>
    <row r="96" spans="1:8" s="250" customFormat="1" ht="15.75">
      <c r="A96" s="177">
        <v>16</v>
      </c>
      <c r="B96" s="32" t="s">
        <v>241</v>
      </c>
      <c r="C96" s="232" t="s">
        <v>242</v>
      </c>
      <c r="D96" s="174" t="s">
        <v>20</v>
      </c>
      <c r="E96" s="174" t="s">
        <v>564</v>
      </c>
      <c r="F96" s="233" t="s">
        <v>22</v>
      </c>
      <c r="G96" s="693"/>
      <c r="H96" s="234" t="s">
        <v>565</v>
      </c>
    </row>
    <row r="97" spans="1:8" s="250" customFormat="1" ht="31.5">
      <c r="A97" s="694"/>
      <c r="B97" s="38"/>
      <c r="C97" s="235"/>
      <c r="D97" s="174" t="s">
        <v>151</v>
      </c>
      <c r="E97" s="174" t="s">
        <v>566</v>
      </c>
      <c r="F97" s="236">
        <v>212</v>
      </c>
      <c r="G97" s="222">
        <f>F97*1.2</f>
        <v>254.39999999999998</v>
      </c>
      <c r="H97" s="237" t="s">
        <v>244</v>
      </c>
    </row>
    <row r="98" spans="1:8" s="250" customFormat="1" ht="47.25">
      <c r="A98" s="208">
        <v>17</v>
      </c>
      <c r="B98" s="223" t="s">
        <v>245</v>
      </c>
      <c r="C98" s="174" t="s">
        <v>405</v>
      </c>
      <c r="D98" s="174" t="s">
        <v>567</v>
      </c>
      <c r="E98" s="174" t="s">
        <v>566</v>
      </c>
      <c r="F98" s="238">
        <v>2181.91</v>
      </c>
      <c r="G98" s="222">
        <f>F98*1.2</f>
        <v>2618.292</v>
      </c>
      <c r="H98" s="497"/>
    </row>
    <row r="99" spans="1:8" s="250" customFormat="1" ht="15.75">
      <c r="A99" s="239" t="s">
        <v>157</v>
      </c>
      <c r="B99" s="240"/>
      <c r="C99" s="169" t="s">
        <v>158</v>
      </c>
      <c r="D99" s="170"/>
      <c r="E99" s="170"/>
      <c r="F99" s="170"/>
      <c r="G99" s="170"/>
      <c r="H99" s="171"/>
    </row>
    <row r="100" spans="1:8" s="250" customFormat="1" ht="63.75" thickBot="1">
      <c r="A100" s="241">
        <v>18</v>
      </c>
      <c r="B100" s="242" t="s">
        <v>159</v>
      </c>
      <c r="C100" s="243" t="s">
        <v>568</v>
      </c>
      <c r="D100" s="242" t="s">
        <v>20</v>
      </c>
      <c r="E100" s="243" t="s">
        <v>538</v>
      </c>
      <c r="F100" s="244">
        <v>1348</v>
      </c>
      <c r="G100" s="244">
        <f>F100*1.2</f>
        <v>1617.6</v>
      </c>
      <c r="H100" s="498"/>
    </row>
    <row r="101" spans="2:8" s="250" customFormat="1" ht="15.75">
      <c r="B101" s="695"/>
      <c r="C101" s="245"/>
      <c r="D101" s="696"/>
      <c r="E101" s="696"/>
      <c r="F101" s="697"/>
      <c r="G101" s="697"/>
      <c r="H101" s="697"/>
    </row>
    <row r="102" spans="2:8" s="250" customFormat="1" ht="15.75">
      <c r="B102" s="246"/>
      <c r="C102" s="247"/>
      <c r="D102" s="248"/>
      <c r="E102" s="248"/>
      <c r="F102" s="247"/>
      <c r="G102" s="249"/>
      <c r="H102" s="249"/>
    </row>
    <row r="103" spans="1:8" s="250" customFormat="1" ht="15.75">
      <c r="A103" s="499" t="s">
        <v>166</v>
      </c>
      <c r="E103" s="251"/>
      <c r="G103" s="159"/>
      <c r="H103" s="159"/>
    </row>
    <row r="104" spans="1:8" s="250" customFormat="1" ht="15.75">
      <c r="A104" s="499"/>
      <c r="E104" s="251"/>
      <c r="G104" s="159"/>
      <c r="H104" s="159"/>
    </row>
    <row r="105" spans="1:8" s="250" customFormat="1" ht="15.75">
      <c r="A105" s="558" t="s">
        <v>167</v>
      </c>
      <c r="E105" s="561" t="s">
        <v>168</v>
      </c>
      <c r="G105" s="253"/>
      <c r="H105" s="253"/>
    </row>
    <row r="106" spans="1:8" s="250" customFormat="1" ht="15.75">
      <c r="A106" s="558"/>
      <c r="E106" s="253"/>
      <c r="G106" s="253"/>
      <c r="H106" s="253"/>
    </row>
    <row r="107" spans="1:8" s="250" customFormat="1" ht="15.75">
      <c r="A107" s="558" t="s">
        <v>169</v>
      </c>
      <c r="E107" s="561" t="s">
        <v>170</v>
      </c>
      <c r="G107" s="253"/>
      <c r="H107" s="253"/>
    </row>
    <row r="108" spans="1:8" s="250" customFormat="1" ht="15.75">
      <c r="A108" s="500"/>
      <c r="E108" s="561"/>
      <c r="G108" s="253"/>
      <c r="H108" s="253"/>
    </row>
    <row r="109" spans="1:8" s="250" customFormat="1" ht="15.75">
      <c r="A109" s="558" t="s">
        <v>171</v>
      </c>
      <c r="E109" s="561" t="s">
        <v>172</v>
      </c>
      <c r="G109" s="253"/>
      <c r="H109" s="253"/>
    </row>
    <row r="110" spans="1:8" s="250" customFormat="1" ht="15.75">
      <c r="A110" s="500"/>
      <c r="E110" s="561"/>
      <c r="G110" s="253"/>
      <c r="H110" s="253"/>
    </row>
    <row r="111" spans="1:8" s="250" customFormat="1" ht="15.75">
      <c r="A111" s="558" t="s">
        <v>173</v>
      </c>
      <c r="E111" s="561" t="s">
        <v>174</v>
      </c>
      <c r="G111" s="253"/>
      <c r="H111" s="253"/>
    </row>
    <row r="112" spans="1:8" s="250" customFormat="1" ht="15.75">
      <c r="A112" s="558"/>
      <c r="D112" s="632"/>
      <c r="E112" s="561"/>
      <c r="G112" s="159"/>
      <c r="H112" s="159"/>
    </row>
    <row r="113" spans="1:8" s="250" customFormat="1" ht="15.75">
      <c r="A113" s="558" t="s">
        <v>569</v>
      </c>
      <c r="E113" s="561" t="s">
        <v>570</v>
      </c>
      <c r="G113" s="159"/>
      <c r="H113" s="159"/>
    </row>
    <row r="114" spans="4:8" s="250" customFormat="1" ht="15.75">
      <c r="D114" s="632"/>
      <c r="E114" s="632"/>
      <c r="G114" s="159"/>
      <c r="H114" s="159"/>
    </row>
    <row r="115" ht="15.75">
      <c r="F115" s="151"/>
    </row>
  </sheetData>
  <sheetProtection/>
  <mergeCells count="117">
    <mergeCell ref="F95:G95"/>
    <mergeCell ref="A96:A97"/>
    <mergeCell ref="B96:B97"/>
    <mergeCell ref="C96:C97"/>
    <mergeCell ref="F96:G96"/>
    <mergeCell ref="A99:B99"/>
    <mergeCell ref="C99:H99"/>
    <mergeCell ref="F91:G91"/>
    <mergeCell ref="A92:B92"/>
    <mergeCell ref="C92:H92"/>
    <mergeCell ref="A93:A94"/>
    <mergeCell ref="B93:B94"/>
    <mergeCell ref="C93:C94"/>
    <mergeCell ref="D93:D94"/>
    <mergeCell ref="E93:E94"/>
    <mergeCell ref="F93:G94"/>
    <mergeCell ref="H93:H94"/>
    <mergeCell ref="E85:E86"/>
    <mergeCell ref="H85:H86"/>
    <mergeCell ref="A87:A89"/>
    <mergeCell ref="C87:H87"/>
    <mergeCell ref="B88:B89"/>
    <mergeCell ref="C88:C89"/>
    <mergeCell ref="D88:D89"/>
    <mergeCell ref="F79:G79"/>
    <mergeCell ref="A80:B80"/>
    <mergeCell ref="C80:H80"/>
    <mergeCell ref="A81:A86"/>
    <mergeCell ref="C81:H81"/>
    <mergeCell ref="B82:B86"/>
    <mergeCell ref="D82:D84"/>
    <mergeCell ref="E82:E84"/>
    <mergeCell ref="H82:H84"/>
    <mergeCell ref="D85:D86"/>
    <mergeCell ref="A70:A79"/>
    <mergeCell ref="B70:B79"/>
    <mergeCell ref="C70:C79"/>
    <mergeCell ref="D70:D71"/>
    <mergeCell ref="H70:H71"/>
    <mergeCell ref="H72:H73"/>
    <mergeCell ref="H74:H75"/>
    <mergeCell ref="D76:D77"/>
    <mergeCell ref="F78:G78"/>
    <mergeCell ref="H78:H79"/>
    <mergeCell ref="F67:G67"/>
    <mergeCell ref="A68:A69"/>
    <mergeCell ref="B68:B69"/>
    <mergeCell ref="C68:C69"/>
    <mergeCell ref="D68:D69"/>
    <mergeCell ref="F68:G68"/>
    <mergeCell ref="F69:G69"/>
    <mergeCell ref="F62:G62"/>
    <mergeCell ref="F63:G63"/>
    <mergeCell ref="A64:H64"/>
    <mergeCell ref="A65:B65"/>
    <mergeCell ref="C65:H65"/>
    <mergeCell ref="A66:B66"/>
    <mergeCell ref="C66:H66"/>
    <mergeCell ref="A54:A60"/>
    <mergeCell ref="B54:B60"/>
    <mergeCell ref="C54:G54"/>
    <mergeCell ref="C55:C57"/>
    <mergeCell ref="C58:C60"/>
    <mergeCell ref="A61:A63"/>
    <mergeCell ref="B61:B63"/>
    <mergeCell ref="C61:C63"/>
    <mergeCell ref="D61:D62"/>
    <mergeCell ref="F61:G61"/>
    <mergeCell ref="C41:C42"/>
    <mergeCell ref="C43:C44"/>
    <mergeCell ref="C45:C46"/>
    <mergeCell ref="C47:C48"/>
    <mergeCell ref="C49:C50"/>
    <mergeCell ref="C51:C52"/>
    <mergeCell ref="A28:A53"/>
    <mergeCell ref="C28:H28"/>
    <mergeCell ref="B29:B53"/>
    <mergeCell ref="C29:C30"/>
    <mergeCell ref="H29:H52"/>
    <mergeCell ref="C31:C32"/>
    <mergeCell ref="C33:C34"/>
    <mergeCell ref="C35:C36"/>
    <mergeCell ref="C37:C38"/>
    <mergeCell ref="C39:C40"/>
    <mergeCell ref="A25:A27"/>
    <mergeCell ref="B25:B27"/>
    <mergeCell ref="C25:C27"/>
    <mergeCell ref="D25:D26"/>
    <mergeCell ref="F25:G25"/>
    <mergeCell ref="H25:H27"/>
    <mergeCell ref="F26:G26"/>
    <mergeCell ref="F27:G27"/>
    <mergeCell ref="A21:B21"/>
    <mergeCell ref="C21:H21"/>
    <mergeCell ref="A22:A24"/>
    <mergeCell ref="B22:B24"/>
    <mergeCell ref="C22:C24"/>
    <mergeCell ref="D22:D23"/>
    <mergeCell ref="F22:G22"/>
    <mergeCell ref="H22:H24"/>
    <mergeCell ref="F23:G23"/>
    <mergeCell ref="F24:G24"/>
    <mergeCell ref="A18:A20"/>
    <mergeCell ref="B18:B20"/>
    <mergeCell ref="C18:C20"/>
    <mergeCell ref="D18:D19"/>
    <mergeCell ref="F18:G18"/>
    <mergeCell ref="H18:H20"/>
    <mergeCell ref="F19:G19"/>
    <mergeCell ref="F20:G20"/>
    <mergeCell ref="A10:H10"/>
    <mergeCell ref="A11:H11"/>
    <mergeCell ref="A12:H12"/>
    <mergeCell ref="A13:H13"/>
    <mergeCell ref="A16:H16"/>
    <mergeCell ref="A17:B17"/>
    <mergeCell ref="C17:H1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I198"/>
  <sheetViews>
    <sheetView zoomScale="70" zoomScaleNormal="70" zoomScalePageLayoutView="0" workbookViewId="0" topLeftCell="A1">
      <selection activeCell="R18" sqref="R18"/>
    </sheetView>
  </sheetViews>
  <sheetFormatPr defaultColWidth="9.140625" defaultRowHeight="15"/>
  <cols>
    <col min="1" max="1" width="0.13671875" style="151" customWidth="1"/>
    <col min="2" max="2" width="6.00390625" style="150" customWidth="1"/>
    <col min="3" max="3" width="15.140625" style="490" customWidth="1"/>
    <col min="4" max="4" width="45.421875" style="151" customWidth="1"/>
    <col min="5" max="6" width="20.7109375" style="152" customWidth="1"/>
    <col min="7" max="7" width="20.7109375" style="150" customWidth="1"/>
    <col min="8" max="8" width="20.7109375" style="159" customWidth="1"/>
    <col min="9" max="9" width="89.7109375" style="256" customWidth="1"/>
    <col min="10" max="16384" width="9.140625" style="151" customWidth="1"/>
  </cols>
  <sheetData>
    <row r="2" spans="6:9" ht="22.5">
      <c r="F2" s="148"/>
      <c r="G2" s="151"/>
      <c r="H2" s="148"/>
      <c r="I2" s="149" t="s">
        <v>251</v>
      </c>
    </row>
    <row r="3" spans="6:9" ht="20.25">
      <c r="F3" s="254"/>
      <c r="G3" s="151"/>
      <c r="H3" s="112"/>
      <c r="I3" s="303" t="s">
        <v>1</v>
      </c>
    </row>
    <row r="4" spans="6:9" ht="20.25">
      <c r="F4" s="255"/>
      <c r="G4" s="151"/>
      <c r="H4" s="112"/>
      <c r="I4" s="303" t="s">
        <v>2</v>
      </c>
    </row>
    <row r="5" spans="6:8" ht="20.25">
      <c r="F5" s="114"/>
      <c r="G5" s="114"/>
      <c r="H5" s="535"/>
    </row>
    <row r="6" spans="6:8" ht="18.75">
      <c r="F6" s="700"/>
      <c r="G6" s="701"/>
      <c r="H6" s="535"/>
    </row>
    <row r="7" spans="6:9" ht="20.25">
      <c r="F7" s="151"/>
      <c r="G7" s="112"/>
      <c r="H7" s="112"/>
      <c r="I7" s="4" t="s">
        <v>781</v>
      </c>
    </row>
    <row r="8" spans="6:9" ht="20.25">
      <c r="F8" s="112"/>
      <c r="G8" s="112"/>
      <c r="H8" s="112"/>
      <c r="I8" s="303"/>
    </row>
    <row r="10" spans="2:9" ht="20.25">
      <c r="B10" s="501" t="s">
        <v>4</v>
      </c>
      <c r="C10" s="501"/>
      <c r="D10" s="501"/>
      <c r="E10" s="501"/>
      <c r="F10" s="501"/>
      <c r="G10" s="501"/>
      <c r="H10" s="501"/>
      <c r="I10" s="501"/>
    </row>
    <row r="11" spans="2:9" ht="20.25">
      <c r="B11" s="501" t="s">
        <v>571</v>
      </c>
      <c r="C11" s="501"/>
      <c r="D11" s="501"/>
      <c r="E11" s="501"/>
      <c r="F11" s="501"/>
      <c r="G11" s="501"/>
      <c r="H11" s="501"/>
      <c r="I11" s="501"/>
    </row>
    <row r="12" spans="2:9" ht="20.25">
      <c r="B12" s="501" t="s">
        <v>789</v>
      </c>
      <c r="C12" s="501"/>
      <c r="D12" s="501"/>
      <c r="E12" s="501"/>
      <c r="F12" s="501"/>
      <c r="G12" s="501"/>
      <c r="H12" s="501"/>
      <c r="I12" s="501"/>
    </row>
    <row r="13" spans="2:9" ht="20.25">
      <c r="B13" s="570" t="s">
        <v>572</v>
      </c>
      <c r="C13" s="570"/>
      <c r="D13" s="570"/>
      <c r="E13" s="570"/>
      <c r="F13" s="570"/>
      <c r="G13" s="570"/>
      <c r="H13" s="570"/>
      <c r="I13" s="570"/>
    </row>
    <row r="14" spans="2:9" ht="21" thickBot="1">
      <c r="B14" s="502"/>
      <c r="C14" s="502"/>
      <c r="D14" s="502"/>
      <c r="E14" s="502"/>
      <c r="F14" s="502"/>
      <c r="G14" s="502"/>
      <c r="H14" s="502"/>
      <c r="I14" s="709"/>
    </row>
    <row r="15" spans="2:9" s="250" customFormat="1" ht="32.25" thickBot="1">
      <c r="B15" s="160" t="s">
        <v>6</v>
      </c>
      <c r="C15" s="161" t="s">
        <v>7</v>
      </c>
      <c r="D15" s="161" t="s">
        <v>8</v>
      </c>
      <c r="E15" s="161" t="s">
        <v>9</v>
      </c>
      <c r="F15" s="161" t="s">
        <v>10</v>
      </c>
      <c r="G15" s="162" t="s">
        <v>11</v>
      </c>
      <c r="H15" s="162" t="s">
        <v>12</v>
      </c>
      <c r="I15" s="163" t="s">
        <v>13</v>
      </c>
    </row>
    <row r="16" spans="2:9" s="250" customFormat="1" ht="15.75">
      <c r="B16" s="164" t="s">
        <v>516</v>
      </c>
      <c r="C16" s="165"/>
      <c r="D16" s="165"/>
      <c r="E16" s="165"/>
      <c r="F16" s="165"/>
      <c r="G16" s="165"/>
      <c r="H16" s="165"/>
      <c r="I16" s="166"/>
    </row>
    <row r="17" spans="2:9" s="250" customFormat="1" ht="15.75">
      <c r="B17" s="706"/>
      <c r="C17" s="503" t="s">
        <v>15</v>
      </c>
      <c r="D17" s="169" t="s">
        <v>517</v>
      </c>
      <c r="E17" s="170"/>
      <c r="F17" s="170"/>
      <c r="G17" s="170"/>
      <c r="H17" s="170"/>
      <c r="I17" s="171"/>
    </row>
    <row r="18" spans="2:9" s="250" customFormat="1" ht="15.75">
      <c r="B18" s="172">
        <v>1</v>
      </c>
      <c r="C18" s="504" t="s">
        <v>18</v>
      </c>
      <c r="D18" s="333" t="s">
        <v>517</v>
      </c>
      <c r="E18" s="173" t="s">
        <v>20</v>
      </c>
      <c r="F18" s="174" t="s">
        <v>21</v>
      </c>
      <c r="G18" s="175" t="s">
        <v>22</v>
      </c>
      <c r="H18" s="175"/>
      <c r="I18" s="277" t="s">
        <v>573</v>
      </c>
    </row>
    <row r="19" spans="2:9" s="250" customFormat="1" ht="15.75">
      <c r="B19" s="177"/>
      <c r="C19" s="505"/>
      <c r="D19" s="334"/>
      <c r="E19" s="179"/>
      <c r="F19" s="174" t="s">
        <v>253</v>
      </c>
      <c r="G19" s="175" t="s">
        <v>22</v>
      </c>
      <c r="H19" s="175"/>
      <c r="I19" s="277"/>
    </row>
    <row r="20" spans="2:9" s="250" customFormat="1" ht="15.75">
      <c r="B20" s="180"/>
      <c r="C20" s="506"/>
      <c r="D20" s="336"/>
      <c r="E20" s="174" t="s">
        <v>25</v>
      </c>
      <c r="F20" s="174"/>
      <c r="G20" s="175" t="s">
        <v>22</v>
      </c>
      <c r="H20" s="175"/>
      <c r="I20" s="277"/>
    </row>
    <row r="21" spans="2:9" s="250" customFormat="1" ht="15.75">
      <c r="B21" s="172">
        <v>2</v>
      </c>
      <c r="C21" s="504" t="s">
        <v>27</v>
      </c>
      <c r="D21" s="173" t="s">
        <v>520</v>
      </c>
      <c r="E21" s="173" t="s">
        <v>20</v>
      </c>
      <c r="F21" s="174" t="s">
        <v>21</v>
      </c>
      <c r="G21" s="175" t="s">
        <v>22</v>
      </c>
      <c r="H21" s="175"/>
      <c r="I21" s="277" t="s">
        <v>179</v>
      </c>
    </row>
    <row r="22" spans="2:9" s="250" customFormat="1" ht="15.75">
      <c r="B22" s="177"/>
      <c r="C22" s="505"/>
      <c r="D22" s="178"/>
      <c r="E22" s="179"/>
      <c r="F22" s="174" t="s">
        <v>253</v>
      </c>
      <c r="G22" s="175" t="s">
        <v>22</v>
      </c>
      <c r="H22" s="175"/>
      <c r="I22" s="277"/>
    </row>
    <row r="23" spans="2:9" s="250" customFormat="1" ht="15.75">
      <c r="B23" s="180"/>
      <c r="C23" s="506"/>
      <c r="D23" s="179"/>
      <c r="E23" s="174" t="s">
        <v>25</v>
      </c>
      <c r="F23" s="174"/>
      <c r="G23" s="175" t="s">
        <v>22</v>
      </c>
      <c r="H23" s="175"/>
      <c r="I23" s="277"/>
    </row>
    <row r="24" spans="2:9" s="250" customFormat="1" ht="15.75">
      <c r="B24" s="172">
        <v>3</v>
      </c>
      <c r="C24" s="504" t="s">
        <v>31</v>
      </c>
      <c r="D24" s="333" t="s">
        <v>521</v>
      </c>
      <c r="E24" s="173" t="s">
        <v>20</v>
      </c>
      <c r="F24" s="174" t="s">
        <v>21</v>
      </c>
      <c r="G24" s="175" t="s">
        <v>22</v>
      </c>
      <c r="H24" s="175"/>
      <c r="I24" s="277" t="s">
        <v>179</v>
      </c>
    </row>
    <row r="25" spans="2:9" s="250" customFormat="1" ht="15.75">
      <c r="B25" s="177"/>
      <c r="C25" s="505"/>
      <c r="D25" s="334"/>
      <c r="E25" s="179"/>
      <c r="F25" s="174" t="s">
        <v>253</v>
      </c>
      <c r="G25" s="175" t="s">
        <v>22</v>
      </c>
      <c r="H25" s="175"/>
      <c r="I25" s="277"/>
    </row>
    <row r="26" spans="2:9" s="250" customFormat="1" ht="15.75">
      <c r="B26" s="180"/>
      <c r="C26" s="506"/>
      <c r="D26" s="336"/>
      <c r="E26" s="174" t="s">
        <v>25</v>
      </c>
      <c r="F26" s="507"/>
      <c r="G26" s="175" t="s">
        <v>22</v>
      </c>
      <c r="H26" s="175"/>
      <c r="I26" s="277"/>
    </row>
    <row r="27" spans="2:9" s="250" customFormat="1" ht="15.75">
      <c r="B27" s="172">
        <v>4</v>
      </c>
      <c r="C27" s="503" t="s">
        <v>522</v>
      </c>
      <c r="D27" s="169" t="s">
        <v>523</v>
      </c>
      <c r="E27" s="170"/>
      <c r="F27" s="170"/>
      <c r="G27" s="170"/>
      <c r="H27" s="170"/>
      <c r="I27" s="171"/>
    </row>
    <row r="28" spans="2:9" s="250" customFormat="1" ht="15.75">
      <c r="B28" s="177"/>
      <c r="C28" s="504"/>
      <c r="D28" s="173" t="s">
        <v>574</v>
      </c>
      <c r="E28" s="175" t="s">
        <v>20</v>
      </c>
      <c r="F28" s="174" t="s">
        <v>71</v>
      </c>
      <c r="G28" s="238">
        <v>1718</v>
      </c>
      <c r="H28" s="222">
        <f>G28*1.2</f>
        <v>2061.6</v>
      </c>
      <c r="I28" s="176" t="s">
        <v>575</v>
      </c>
    </row>
    <row r="29" spans="2:9" s="250" customFormat="1" ht="15.75">
      <c r="B29" s="177"/>
      <c r="C29" s="505"/>
      <c r="D29" s="179"/>
      <c r="E29" s="175"/>
      <c r="F29" s="174" t="s">
        <v>24</v>
      </c>
      <c r="G29" s="238">
        <v>1874</v>
      </c>
      <c r="H29" s="222">
        <f aca="true" t="shared" si="0" ref="H29:H81">G29*1.2</f>
        <v>2248.7999999999997</v>
      </c>
      <c r="I29" s="686"/>
    </row>
    <row r="30" spans="2:9" s="250" customFormat="1" ht="15.75">
      <c r="B30" s="177"/>
      <c r="C30" s="505"/>
      <c r="D30" s="173" t="s">
        <v>576</v>
      </c>
      <c r="E30" s="175" t="s">
        <v>20</v>
      </c>
      <c r="F30" s="174" t="s">
        <v>71</v>
      </c>
      <c r="G30" s="238">
        <v>3125</v>
      </c>
      <c r="H30" s="222">
        <f t="shared" si="0"/>
        <v>3750</v>
      </c>
      <c r="I30" s="686"/>
    </row>
    <row r="31" spans="2:9" s="250" customFormat="1" ht="15.75">
      <c r="B31" s="177"/>
      <c r="C31" s="505"/>
      <c r="D31" s="179"/>
      <c r="E31" s="175"/>
      <c r="F31" s="174" t="s">
        <v>24</v>
      </c>
      <c r="G31" s="238">
        <v>3572</v>
      </c>
      <c r="H31" s="222">
        <f t="shared" si="0"/>
        <v>4286.4</v>
      </c>
      <c r="I31" s="686"/>
    </row>
    <row r="32" spans="2:9" s="250" customFormat="1" ht="15.75">
      <c r="B32" s="177"/>
      <c r="C32" s="505"/>
      <c r="D32" s="173" t="s">
        <v>577</v>
      </c>
      <c r="E32" s="175" t="s">
        <v>20</v>
      </c>
      <c r="F32" s="174" t="s">
        <v>71</v>
      </c>
      <c r="G32" s="238">
        <v>4613</v>
      </c>
      <c r="H32" s="222">
        <f t="shared" si="0"/>
        <v>5535.599999999999</v>
      </c>
      <c r="I32" s="686"/>
    </row>
    <row r="33" spans="2:9" s="250" customFormat="1" ht="15.75">
      <c r="B33" s="177"/>
      <c r="C33" s="505"/>
      <c r="D33" s="179"/>
      <c r="E33" s="175"/>
      <c r="F33" s="174" t="s">
        <v>24</v>
      </c>
      <c r="G33" s="238">
        <v>5139</v>
      </c>
      <c r="H33" s="222">
        <f t="shared" si="0"/>
        <v>6166.8</v>
      </c>
      <c r="I33" s="702"/>
    </row>
    <row r="34" spans="2:9" s="250" customFormat="1" ht="15.75">
      <c r="B34" s="177"/>
      <c r="C34" s="505"/>
      <c r="D34" s="173" t="s">
        <v>574</v>
      </c>
      <c r="E34" s="175" t="s">
        <v>20</v>
      </c>
      <c r="F34" s="174" t="s">
        <v>71</v>
      </c>
      <c r="G34" s="238">
        <v>6732</v>
      </c>
      <c r="H34" s="222">
        <f t="shared" si="0"/>
        <v>8078.4</v>
      </c>
      <c r="I34" s="176" t="s">
        <v>782</v>
      </c>
    </row>
    <row r="35" spans="2:9" s="250" customFormat="1" ht="15.75">
      <c r="B35" s="177"/>
      <c r="C35" s="505"/>
      <c r="D35" s="179"/>
      <c r="E35" s="175"/>
      <c r="F35" s="174" t="s">
        <v>24</v>
      </c>
      <c r="G35" s="238">
        <v>8979</v>
      </c>
      <c r="H35" s="222">
        <f t="shared" si="0"/>
        <v>10774.8</v>
      </c>
      <c r="I35" s="686"/>
    </row>
    <row r="36" spans="2:9" s="250" customFormat="1" ht="15.75">
      <c r="B36" s="177"/>
      <c r="C36" s="505"/>
      <c r="D36" s="173" t="s">
        <v>576</v>
      </c>
      <c r="E36" s="175" t="s">
        <v>20</v>
      </c>
      <c r="F36" s="174" t="s">
        <v>71</v>
      </c>
      <c r="G36" s="238">
        <v>7724</v>
      </c>
      <c r="H36" s="222">
        <f t="shared" si="0"/>
        <v>9268.8</v>
      </c>
      <c r="I36" s="686"/>
    </row>
    <row r="37" spans="2:9" s="250" customFormat="1" ht="15.75">
      <c r="B37" s="177"/>
      <c r="C37" s="505"/>
      <c r="D37" s="179"/>
      <c r="E37" s="175"/>
      <c r="F37" s="174" t="s">
        <v>24</v>
      </c>
      <c r="G37" s="238">
        <v>10870</v>
      </c>
      <c r="H37" s="222">
        <f t="shared" si="0"/>
        <v>13044</v>
      </c>
      <c r="I37" s="686"/>
    </row>
    <row r="38" spans="2:9" s="250" customFormat="1" ht="15.75">
      <c r="B38" s="177"/>
      <c r="C38" s="505"/>
      <c r="D38" s="173" t="s">
        <v>577</v>
      </c>
      <c r="E38" s="175" t="s">
        <v>20</v>
      </c>
      <c r="F38" s="174" t="s">
        <v>71</v>
      </c>
      <c r="G38" s="238">
        <v>10927</v>
      </c>
      <c r="H38" s="222">
        <f t="shared" si="0"/>
        <v>13112.4</v>
      </c>
      <c r="I38" s="686"/>
    </row>
    <row r="39" spans="2:9" s="250" customFormat="1" ht="15.75">
      <c r="B39" s="177"/>
      <c r="C39" s="505"/>
      <c r="D39" s="179"/>
      <c r="E39" s="175"/>
      <c r="F39" s="174" t="s">
        <v>24</v>
      </c>
      <c r="G39" s="238">
        <v>12399</v>
      </c>
      <c r="H39" s="222">
        <f t="shared" si="0"/>
        <v>14878.8</v>
      </c>
      <c r="I39" s="686"/>
    </row>
    <row r="40" spans="2:9" s="250" customFormat="1" ht="15.75">
      <c r="B40" s="177"/>
      <c r="C40" s="505"/>
      <c r="D40" s="173" t="s">
        <v>578</v>
      </c>
      <c r="E40" s="173" t="s">
        <v>20</v>
      </c>
      <c r="F40" s="174" t="s">
        <v>71</v>
      </c>
      <c r="G40" s="238">
        <v>13207</v>
      </c>
      <c r="H40" s="222">
        <f t="shared" si="0"/>
        <v>15848.4</v>
      </c>
      <c r="I40" s="686"/>
    </row>
    <row r="41" spans="2:9" s="250" customFormat="1" ht="15.75">
      <c r="B41" s="177"/>
      <c r="C41" s="505"/>
      <c r="D41" s="179"/>
      <c r="E41" s="179"/>
      <c r="F41" s="174" t="s">
        <v>24</v>
      </c>
      <c r="G41" s="238">
        <v>15636</v>
      </c>
      <c r="H41" s="222">
        <f t="shared" si="0"/>
        <v>18763.2</v>
      </c>
      <c r="I41" s="686"/>
    </row>
    <row r="42" spans="2:9" s="250" customFormat="1" ht="15.75">
      <c r="B42" s="177"/>
      <c r="C42" s="505"/>
      <c r="D42" s="173" t="s">
        <v>579</v>
      </c>
      <c r="E42" s="173" t="s">
        <v>20</v>
      </c>
      <c r="F42" s="174" t="s">
        <v>71</v>
      </c>
      <c r="G42" s="238">
        <v>16149</v>
      </c>
      <c r="H42" s="222">
        <f t="shared" si="0"/>
        <v>19378.8</v>
      </c>
      <c r="I42" s="686"/>
    </row>
    <row r="43" spans="2:9" s="250" customFormat="1" ht="15.75">
      <c r="B43" s="177"/>
      <c r="C43" s="505"/>
      <c r="D43" s="179"/>
      <c r="E43" s="179"/>
      <c r="F43" s="174" t="s">
        <v>24</v>
      </c>
      <c r="G43" s="238">
        <v>17866</v>
      </c>
      <c r="H43" s="222">
        <f t="shared" si="0"/>
        <v>21439.2</v>
      </c>
      <c r="I43" s="686"/>
    </row>
    <row r="44" spans="2:9" s="250" customFormat="1" ht="15.75">
      <c r="B44" s="177"/>
      <c r="C44" s="505"/>
      <c r="D44" s="173" t="s">
        <v>580</v>
      </c>
      <c r="E44" s="173" t="s">
        <v>20</v>
      </c>
      <c r="F44" s="174" t="s">
        <v>71</v>
      </c>
      <c r="G44" s="238">
        <v>16252</v>
      </c>
      <c r="H44" s="222">
        <f t="shared" si="0"/>
        <v>19502.399999999998</v>
      </c>
      <c r="I44" s="686"/>
    </row>
    <row r="45" spans="2:9" s="250" customFormat="1" ht="15.75">
      <c r="B45" s="177"/>
      <c r="C45" s="505"/>
      <c r="D45" s="179"/>
      <c r="E45" s="179"/>
      <c r="F45" s="174" t="s">
        <v>24</v>
      </c>
      <c r="G45" s="238">
        <v>18400</v>
      </c>
      <c r="H45" s="222">
        <f t="shared" si="0"/>
        <v>22080</v>
      </c>
      <c r="I45" s="686"/>
    </row>
    <row r="46" spans="2:9" s="250" customFormat="1" ht="15.75">
      <c r="B46" s="177"/>
      <c r="C46" s="505"/>
      <c r="D46" s="173" t="s">
        <v>581</v>
      </c>
      <c r="E46" s="173" t="s">
        <v>20</v>
      </c>
      <c r="F46" s="174" t="s">
        <v>71</v>
      </c>
      <c r="G46" s="238">
        <v>21608</v>
      </c>
      <c r="H46" s="222">
        <f t="shared" si="0"/>
        <v>25929.6</v>
      </c>
      <c r="I46" s="686"/>
    </row>
    <row r="47" spans="2:9" s="250" customFormat="1" ht="15.75">
      <c r="B47" s="177"/>
      <c r="C47" s="505"/>
      <c r="D47" s="179"/>
      <c r="E47" s="179"/>
      <c r="F47" s="174" t="s">
        <v>24</v>
      </c>
      <c r="G47" s="238">
        <v>23972</v>
      </c>
      <c r="H47" s="222">
        <f t="shared" si="0"/>
        <v>28766.399999999998</v>
      </c>
      <c r="I47" s="686"/>
    </row>
    <row r="48" spans="2:9" s="250" customFormat="1" ht="15.75">
      <c r="B48" s="177"/>
      <c r="C48" s="505"/>
      <c r="D48" s="173" t="s">
        <v>582</v>
      </c>
      <c r="E48" s="173" t="s">
        <v>20</v>
      </c>
      <c r="F48" s="174" t="s">
        <v>21</v>
      </c>
      <c r="G48" s="238">
        <v>23782</v>
      </c>
      <c r="H48" s="222">
        <f t="shared" si="0"/>
        <v>28538.399999999998</v>
      </c>
      <c r="I48" s="686"/>
    </row>
    <row r="49" spans="2:9" s="250" customFormat="1" ht="15.75">
      <c r="B49" s="177"/>
      <c r="C49" s="505"/>
      <c r="D49" s="179"/>
      <c r="E49" s="179"/>
      <c r="F49" s="174" t="s">
        <v>24</v>
      </c>
      <c r="G49" s="238">
        <v>26177</v>
      </c>
      <c r="H49" s="222">
        <f t="shared" si="0"/>
        <v>31412.399999999998</v>
      </c>
      <c r="I49" s="686"/>
    </row>
    <row r="50" spans="2:9" s="250" customFormat="1" ht="15.75">
      <c r="B50" s="177"/>
      <c r="C50" s="505"/>
      <c r="D50" s="173" t="s">
        <v>583</v>
      </c>
      <c r="E50" s="173" t="s">
        <v>20</v>
      </c>
      <c r="F50" s="174" t="s">
        <v>71</v>
      </c>
      <c r="G50" s="238">
        <v>29019</v>
      </c>
      <c r="H50" s="222">
        <f t="shared" si="0"/>
        <v>34822.799999999996</v>
      </c>
      <c r="I50" s="686"/>
    </row>
    <row r="51" spans="2:9" s="250" customFormat="1" ht="15.75">
      <c r="B51" s="177"/>
      <c r="C51" s="505"/>
      <c r="D51" s="179"/>
      <c r="E51" s="179"/>
      <c r="F51" s="174" t="s">
        <v>24</v>
      </c>
      <c r="G51" s="238">
        <v>31546</v>
      </c>
      <c r="H51" s="222">
        <f t="shared" si="0"/>
        <v>37855.2</v>
      </c>
      <c r="I51" s="686"/>
    </row>
    <row r="52" spans="2:9" s="250" customFormat="1" ht="15.75">
      <c r="B52" s="177"/>
      <c r="C52" s="505"/>
      <c r="D52" s="173" t="s">
        <v>584</v>
      </c>
      <c r="E52" s="173" t="s">
        <v>20</v>
      </c>
      <c r="F52" s="174" t="s">
        <v>71</v>
      </c>
      <c r="G52" s="238">
        <v>34151</v>
      </c>
      <c r="H52" s="222">
        <f t="shared" si="0"/>
        <v>40981.2</v>
      </c>
      <c r="I52" s="686"/>
    </row>
    <row r="53" spans="2:9" s="250" customFormat="1" ht="15.75">
      <c r="B53" s="177"/>
      <c r="C53" s="505"/>
      <c r="D53" s="179"/>
      <c r="E53" s="179"/>
      <c r="F53" s="174" t="s">
        <v>24</v>
      </c>
      <c r="G53" s="238">
        <v>36916</v>
      </c>
      <c r="H53" s="222">
        <f t="shared" si="0"/>
        <v>44299.2</v>
      </c>
      <c r="I53" s="686"/>
    </row>
    <row r="54" spans="2:9" s="250" customFormat="1" ht="15.75">
      <c r="B54" s="177"/>
      <c r="C54" s="505"/>
      <c r="D54" s="173" t="s">
        <v>585</v>
      </c>
      <c r="E54" s="173" t="s">
        <v>20</v>
      </c>
      <c r="F54" s="174" t="s">
        <v>21</v>
      </c>
      <c r="G54" s="238">
        <v>39340</v>
      </c>
      <c r="H54" s="222">
        <f t="shared" si="0"/>
        <v>47208</v>
      </c>
      <c r="I54" s="686"/>
    </row>
    <row r="55" spans="2:9" s="250" customFormat="1" ht="15.75">
      <c r="B55" s="177"/>
      <c r="C55" s="505"/>
      <c r="D55" s="179"/>
      <c r="E55" s="179"/>
      <c r="F55" s="174" t="s">
        <v>24</v>
      </c>
      <c r="G55" s="238">
        <v>42285</v>
      </c>
      <c r="H55" s="222">
        <f t="shared" si="0"/>
        <v>50742</v>
      </c>
      <c r="I55" s="686"/>
    </row>
    <row r="56" spans="2:9" s="250" customFormat="1" ht="15.75">
      <c r="B56" s="177"/>
      <c r="C56" s="505"/>
      <c r="D56" s="173" t="s">
        <v>586</v>
      </c>
      <c r="E56" s="173" t="s">
        <v>20</v>
      </c>
      <c r="F56" s="174" t="s">
        <v>71</v>
      </c>
      <c r="G56" s="238">
        <v>45476</v>
      </c>
      <c r="H56" s="222">
        <f t="shared" si="0"/>
        <v>54571.2</v>
      </c>
      <c r="I56" s="686"/>
    </row>
    <row r="57" spans="2:9" s="250" customFormat="1" ht="15.75">
      <c r="B57" s="177"/>
      <c r="C57" s="505"/>
      <c r="D57" s="179"/>
      <c r="E57" s="179"/>
      <c r="F57" s="174" t="s">
        <v>24</v>
      </c>
      <c r="G57" s="238">
        <v>48824</v>
      </c>
      <c r="H57" s="222">
        <f t="shared" si="0"/>
        <v>58588.799999999996</v>
      </c>
      <c r="I57" s="686"/>
    </row>
    <row r="58" spans="2:9" s="250" customFormat="1" ht="15.75">
      <c r="B58" s="177"/>
      <c r="C58" s="505"/>
      <c r="D58" s="173" t="s">
        <v>587</v>
      </c>
      <c r="E58" s="173" t="s">
        <v>20</v>
      </c>
      <c r="F58" s="174" t="s">
        <v>71</v>
      </c>
      <c r="G58" s="238">
        <v>49304</v>
      </c>
      <c r="H58" s="222">
        <f t="shared" si="0"/>
        <v>59164.799999999996</v>
      </c>
      <c r="I58" s="686"/>
    </row>
    <row r="59" spans="2:9" s="250" customFormat="1" ht="15.75">
      <c r="B59" s="177"/>
      <c r="C59" s="505"/>
      <c r="D59" s="179"/>
      <c r="E59" s="179"/>
      <c r="F59" s="174" t="s">
        <v>24</v>
      </c>
      <c r="G59" s="238">
        <v>52528</v>
      </c>
      <c r="H59" s="222">
        <f t="shared" si="0"/>
        <v>63033.6</v>
      </c>
      <c r="I59" s="686"/>
    </row>
    <row r="60" spans="2:9" s="250" customFormat="1" ht="15.75">
      <c r="B60" s="177"/>
      <c r="C60" s="505"/>
      <c r="D60" s="173" t="s">
        <v>588</v>
      </c>
      <c r="E60" s="173" t="s">
        <v>20</v>
      </c>
      <c r="F60" s="174" t="s">
        <v>71</v>
      </c>
      <c r="G60" s="238">
        <v>55272</v>
      </c>
      <c r="H60" s="222">
        <f t="shared" si="0"/>
        <v>66326.4</v>
      </c>
      <c r="I60" s="686"/>
    </row>
    <row r="61" spans="2:9" s="250" customFormat="1" ht="15.75">
      <c r="B61" s="177"/>
      <c r="C61" s="505"/>
      <c r="D61" s="179"/>
      <c r="E61" s="179"/>
      <c r="F61" s="174" t="s">
        <v>24</v>
      </c>
      <c r="G61" s="238">
        <v>58779</v>
      </c>
      <c r="H61" s="222">
        <f t="shared" si="0"/>
        <v>70534.8</v>
      </c>
      <c r="I61" s="686"/>
    </row>
    <row r="62" spans="2:9" s="250" customFormat="1" ht="15.75">
      <c r="B62" s="177"/>
      <c r="C62" s="505"/>
      <c r="D62" s="173" t="s">
        <v>589</v>
      </c>
      <c r="E62" s="173" t="s">
        <v>20</v>
      </c>
      <c r="F62" s="174" t="s">
        <v>71</v>
      </c>
      <c r="G62" s="238">
        <v>60316</v>
      </c>
      <c r="H62" s="222">
        <f t="shared" si="0"/>
        <v>72379.2</v>
      </c>
      <c r="I62" s="686"/>
    </row>
    <row r="63" spans="2:9" s="250" customFormat="1" ht="15.75">
      <c r="B63" s="177"/>
      <c r="C63" s="505"/>
      <c r="D63" s="179"/>
      <c r="E63" s="179"/>
      <c r="F63" s="174" t="s">
        <v>24</v>
      </c>
      <c r="G63" s="238">
        <v>63946</v>
      </c>
      <c r="H63" s="222">
        <f t="shared" si="0"/>
        <v>76735.2</v>
      </c>
      <c r="I63" s="686"/>
    </row>
    <row r="64" spans="2:9" s="250" customFormat="1" ht="15.75">
      <c r="B64" s="177"/>
      <c r="C64" s="505"/>
      <c r="D64" s="173" t="s">
        <v>590</v>
      </c>
      <c r="E64" s="173" t="s">
        <v>20</v>
      </c>
      <c r="F64" s="174" t="s">
        <v>71</v>
      </c>
      <c r="G64" s="238">
        <v>65406</v>
      </c>
      <c r="H64" s="222">
        <f t="shared" si="0"/>
        <v>78487.2</v>
      </c>
      <c r="I64" s="686"/>
    </row>
    <row r="65" spans="2:9" s="250" customFormat="1" ht="15.75">
      <c r="B65" s="177"/>
      <c r="C65" s="505"/>
      <c r="D65" s="179"/>
      <c r="E65" s="179"/>
      <c r="F65" s="174" t="s">
        <v>24</v>
      </c>
      <c r="G65" s="238">
        <v>69273</v>
      </c>
      <c r="H65" s="222">
        <f t="shared" si="0"/>
        <v>83127.59999999999</v>
      </c>
      <c r="I65" s="686"/>
    </row>
    <row r="66" spans="2:9" s="250" customFormat="1" ht="15.75">
      <c r="B66" s="177"/>
      <c r="C66" s="505"/>
      <c r="D66" s="173" t="s">
        <v>591</v>
      </c>
      <c r="E66" s="173" t="s">
        <v>20</v>
      </c>
      <c r="F66" s="174" t="s">
        <v>71</v>
      </c>
      <c r="G66" s="238">
        <v>70450</v>
      </c>
      <c r="H66" s="222">
        <f t="shared" si="0"/>
        <v>84540</v>
      </c>
      <c r="I66" s="686"/>
    </row>
    <row r="67" spans="2:9" s="250" customFormat="1" ht="15.75">
      <c r="B67" s="177"/>
      <c r="C67" s="505"/>
      <c r="D67" s="179"/>
      <c r="E67" s="179"/>
      <c r="F67" s="174" t="s">
        <v>24</v>
      </c>
      <c r="G67" s="238">
        <v>74493</v>
      </c>
      <c r="H67" s="222">
        <f t="shared" si="0"/>
        <v>89391.59999999999</v>
      </c>
      <c r="I67" s="686"/>
    </row>
    <row r="68" spans="2:9" s="250" customFormat="1" ht="15.75">
      <c r="B68" s="177"/>
      <c r="C68" s="505"/>
      <c r="D68" s="173" t="s">
        <v>592</v>
      </c>
      <c r="E68" s="173" t="s">
        <v>20</v>
      </c>
      <c r="F68" s="174" t="s">
        <v>71</v>
      </c>
      <c r="G68" s="238">
        <v>75489</v>
      </c>
      <c r="H68" s="222">
        <f t="shared" si="0"/>
        <v>90586.8</v>
      </c>
      <c r="I68" s="686"/>
    </row>
    <row r="69" spans="2:9" s="250" customFormat="1" ht="15.75">
      <c r="B69" s="177"/>
      <c r="C69" s="505"/>
      <c r="D69" s="179"/>
      <c r="E69" s="179"/>
      <c r="F69" s="174" t="s">
        <v>24</v>
      </c>
      <c r="G69" s="238">
        <v>79713</v>
      </c>
      <c r="H69" s="222">
        <f t="shared" si="0"/>
        <v>95655.59999999999</v>
      </c>
      <c r="I69" s="686"/>
    </row>
    <row r="70" spans="2:9" s="250" customFormat="1" ht="15.75">
      <c r="B70" s="177"/>
      <c r="C70" s="505"/>
      <c r="D70" s="173" t="s">
        <v>593</v>
      </c>
      <c r="E70" s="173" t="s">
        <v>20</v>
      </c>
      <c r="F70" s="174" t="s">
        <v>21</v>
      </c>
      <c r="G70" s="238">
        <v>81461</v>
      </c>
      <c r="H70" s="222">
        <f t="shared" si="0"/>
        <v>97753.2</v>
      </c>
      <c r="I70" s="686"/>
    </row>
    <row r="71" spans="2:9" s="250" customFormat="1" ht="15.75">
      <c r="B71" s="177"/>
      <c r="C71" s="505"/>
      <c r="D71" s="179"/>
      <c r="E71" s="179"/>
      <c r="F71" s="174" t="s">
        <v>24</v>
      </c>
      <c r="G71" s="238">
        <v>85858</v>
      </c>
      <c r="H71" s="222">
        <f t="shared" si="0"/>
        <v>103029.59999999999</v>
      </c>
      <c r="I71" s="686"/>
    </row>
    <row r="72" spans="2:9" s="250" customFormat="1" ht="15.75">
      <c r="B72" s="177"/>
      <c r="C72" s="505"/>
      <c r="D72" s="173" t="s">
        <v>594</v>
      </c>
      <c r="E72" s="173" t="s">
        <v>20</v>
      </c>
      <c r="F72" s="174" t="s">
        <v>71</v>
      </c>
      <c r="G72" s="238">
        <v>86528</v>
      </c>
      <c r="H72" s="222">
        <f t="shared" si="0"/>
        <v>103833.59999999999</v>
      </c>
      <c r="I72" s="686"/>
    </row>
    <row r="73" spans="2:9" s="250" customFormat="1" ht="15.75">
      <c r="B73" s="177"/>
      <c r="C73" s="505"/>
      <c r="D73" s="179"/>
      <c r="E73" s="179"/>
      <c r="F73" s="174" t="s">
        <v>24</v>
      </c>
      <c r="G73" s="238">
        <v>91131</v>
      </c>
      <c r="H73" s="222">
        <f t="shared" si="0"/>
        <v>109357.2</v>
      </c>
      <c r="I73" s="686"/>
    </row>
    <row r="74" spans="2:9" s="250" customFormat="1" ht="15.75">
      <c r="B74" s="177"/>
      <c r="C74" s="505"/>
      <c r="D74" s="173" t="s">
        <v>595</v>
      </c>
      <c r="E74" s="173" t="s">
        <v>20</v>
      </c>
      <c r="F74" s="174" t="s">
        <v>71</v>
      </c>
      <c r="G74" s="238">
        <v>89852</v>
      </c>
      <c r="H74" s="222">
        <f t="shared" si="0"/>
        <v>107822.4</v>
      </c>
      <c r="I74" s="686"/>
    </row>
    <row r="75" spans="2:9" s="250" customFormat="1" ht="15.75">
      <c r="B75" s="177"/>
      <c r="C75" s="505"/>
      <c r="D75" s="179"/>
      <c r="E75" s="179"/>
      <c r="F75" s="174" t="s">
        <v>24</v>
      </c>
      <c r="G75" s="238">
        <v>94569</v>
      </c>
      <c r="H75" s="222">
        <f t="shared" si="0"/>
        <v>113482.8</v>
      </c>
      <c r="I75" s="686"/>
    </row>
    <row r="76" spans="2:9" s="250" customFormat="1" ht="15.75">
      <c r="B76" s="177"/>
      <c r="C76" s="505"/>
      <c r="D76" s="173" t="s">
        <v>596</v>
      </c>
      <c r="E76" s="173" t="s">
        <v>20</v>
      </c>
      <c r="F76" s="174" t="s">
        <v>71</v>
      </c>
      <c r="G76" s="238">
        <v>94746</v>
      </c>
      <c r="H76" s="222">
        <f t="shared" si="0"/>
        <v>113695.2</v>
      </c>
      <c r="I76" s="686"/>
    </row>
    <row r="77" spans="2:9" s="250" customFormat="1" ht="15.75">
      <c r="B77" s="177"/>
      <c r="C77" s="505"/>
      <c r="D77" s="179"/>
      <c r="E77" s="179"/>
      <c r="F77" s="174" t="s">
        <v>24</v>
      </c>
      <c r="G77" s="238">
        <v>99690</v>
      </c>
      <c r="H77" s="222">
        <f t="shared" si="0"/>
        <v>119628</v>
      </c>
      <c r="I77" s="686"/>
    </row>
    <row r="78" spans="2:9" s="250" customFormat="1" ht="15.75">
      <c r="B78" s="177"/>
      <c r="C78" s="505"/>
      <c r="D78" s="173" t="s">
        <v>597</v>
      </c>
      <c r="E78" s="173" t="s">
        <v>20</v>
      </c>
      <c r="F78" s="174" t="s">
        <v>21</v>
      </c>
      <c r="G78" s="238">
        <v>100599</v>
      </c>
      <c r="H78" s="222">
        <f t="shared" si="0"/>
        <v>120718.79999999999</v>
      </c>
      <c r="I78" s="686"/>
    </row>
    <row r="79" spans="2:9" s="250" customFormat="1" ht="15.75">
      <c r="B79" s="177"/>
      <c r="C79" s="505"/>
      <c r="D79" s="179"/>
      <c r="E79" s="179"/>
      <c r="F79" s="174" t="s">
        <v>24</v>
      </c>
      <c r="G79" s="238">
        <v>105717</v>
      </c>
      <c r="H79" s="222">
        <f t="shared" si="0"/>
        <v>126860.4</v>
      </c>
      <c r="I79" s="686"/>
    </row>
    <row r="80" spans="2:9" s="250" customFormat="1" ht="15.75">
      <c r="B80" s="177"/>
      <c r="C80" s="505"/>
      <c r="D80" s="173" t="s">
        <v>598</v>
      </c>
      <c r="E80" s="173" t="s">
        <v>20</v>
      </c>
      <c r="F80" s="174" t="s">
        <v>21</v>
      </c>
      <c r="G80" s="238">
        <v>105594</v>
      </c>
      <c r="H80" s="222">
        <f t="shared" si="0"/>
        <v>126712.79999999999</v>
      </c>
      <c r="I80" s="686"/>
    </row>
    <row r="81" spans="2:9" s="250" customFormat="1" ht="15.75">
      <c r="B81" s="177"/>
      <c r="C81" s="506"/>
      <c r="D81" s="179"/>
      <c r="E81" s="179"/>
      <c r="F81" s="174" t="s">
        <v>24</v>
      </c>
      <c r="G81" s="238">
        <v>110942</v>
      </c>
      <c r="H81" s="222">
        <f t="shared" si="0"/>
        <v>133130.4</v>
      </c>
      <c r="I81" s="702"/>
    </row>
    <row r="82" spans="2:9" s="250" customFormat="1" ht="15.75">
      <c r="B82" s="508">
        <v>5</v>
      </c>
      <c r="C82" s="504" t="s">
        <v>59</v>
      </c>
      <c r="D82" s="175" t="s">
        <v>60</v>
      </c>
      <c r="E82" s="174" t="s">
        <v>20</v>
      </c>
      <c r="F82" s="174" t="s">
        <v>21</v>
      </c>
      <c r="G82" s="175" t="s">
        <v>22</v>
      </c>
      <c r="H82" s="175"/>
      <c r="I82" s="496"/>
    </row>
    <row r="83" spans="2:9" s="250" customFormat="1" ht="15.75">
      <c r="B83" s="508"/>
      <c r="C83" s="505"/>
      <c r="D83" s="175"/>
      <c r="E83" s="174" t="s">
        <v>20</v>
      </c>
      <c r="F83" s="174" t="s">
        <v>24</v>
      </c>
      <c r="G83" s="175" t="s">
        <v>22</v>
      </c>
      <c r="H83" s="175"/>
      <c r="I83" s="496"/>
    </row>
    <row r="84" spans="2:9" s="250" customFormat="1" ht="15.75">
      <c r="B84" s="508"/>
      <c r="C84" s="506"/>
      <c r="D84" s="175"/>
      <c r="E84" s="174" t="s">
        <v>25</v>
      </c>
      <c r="F84" s="174"/>
      <c r="G84" s="175" t="s">
        <v>22</v>
      </c>
      <c r="H84" s="175"/>
      <c r="I84" s="496"/>
    </row>
    <row r="85" spans="2:9" s="250" customFormat="1" ht="15.75">
      <c r="B85" s="508">
        <v>6</v>
      </c>
      <c r="C85" s="509" t="s">
        <v>599</v>
      </c>
      <c r="D85" s="169" t="s">
        <v>600</v>
      </c>
      <c r="E85" s="170"/>
      <c r="F85" s="170"/>
      <c r="G85" s="170"/>
      <c r="H85" s="170"/>
      <c r="I85" s="171"/>
    </row>
    <row r="86" spans="2:9" s="250" customFormat="1" ht="15.75">
      <c r="B86" s="508"/>
      <c r="C86" s="509"/>
      <c r="D86" s="173" t="s">
        <v>601</v>
      </c>
      <c r="E86" s="173" t="s">
        <v>20</v>
      </c>
      <c r="F86" s="174" t="s">
        <v>21</v>
      </c>
      <c r="G86" s="238">
        <v>4830</v>
      </c>
      <c r="H86" s="222">
        <f>G86*1.2</f>
        <v>5796</v>
      </c>
      <c r="I86" s="496" t="s">
        <v>54</v>
      </c>
    </row>
    <row r="87" spans="2:9" s="250" customFormat="1" ht="15.75">
      <c r="B87" s="508"/>
      <c r="C87" s="509"/>
      <c r="D87" s="178"/>
      <c r="E87" s="178"/>
      <c r="F87" s="174" t="s">
        <v>21</v>
      </c>
      <c r="G87" s="238">
        <v>5514</v>
      </c>
      <c r="H87" s="222">
        <f aca="true" t="shared" si="1" ref="H87:H93">G87*1.2</f>
        <v>6616.8</v>
      </c>
      <c r="I87" s="496" t="s">
        <v>55</v>
      </c>
    </row>
    <row r="88" spans="2:9" s="250" customFormat="1" ht="15.75">
      <c r="B88" s="508"/>
      <c r="C88" s="509"/>
      <c r="D88" s="178"/>
      <c r="E88" s="178"/>
      <c r="F88" s="174" t="s">
        <v>253</v>
      </c>
      <c r="G88" s="238">
        <v>6018</v>
      </c>
      <c r="H88" s="222">
        <f t="shared" si="1"/>
        <v>7221.599999999999</v>
      </c>
      <c r="I88" s="496"/>
    </row>
    <row r="89" spans="2:9" s="250" customFormat="1" ht="15.75">
      <c r="B89" s="508"/>
      <c r="C89" s="509"/>
      <c r="D89" s="175" t="s">
        <v>602</v>
      </c>
      <c r="E89" s="178"/>
      <c r="F89" s="174" t="s">
        <v>21</v>
      </c>
      <c r="G89" s="238">
        <v>3470</v>
      </c>
      <c r="H89" s="222">
        <f t="shared" si="1"/>
        <v>4164</v>
      </c>
      <c r="I89" s="496" t="s">
        <v>54</v>
      </c>
    </row>
    <row r="90" spans="2:9" s="250" customFormat="1" ht="15.75">
      <c r="B90" s="508"/>
      <c r="C90" s="509"/>
      <c r="D90" s="175"/>
      <c r="E90" s="178"/>
      <c r="F90" s="174" t="s">
        <v>21</v>
      </c>
      <c r="G90" s="238">
        <v>4154</v>
      </c>
      <c r="H90" s="222">
        <f t="shared" si="1"/>
        <v>4984.8</v>
      </c>
      <c r="I90" s="496" t="s">
        <v>55</v>
      </c>
    </row>
    <row r="91" spans="2:9" s="250" customFormat="1" ht="15.75">
      <c r="B91" s="508"/>
      <c r="C91" s="509"/>
      <c r="D91" s="175"/>
      <c r="E91" s="178"/>
      <c r="F91" s="174" t="s">
        <v>253</v>
      </c>
      <c r="G91" s="238">
        <v>4154</v>
      </c>
      <c r="H91" s="222">
        <f t="shared" si="1"/>
        <v>4984.8</v>
      </c>
      <c r="I91" s="496"/>
    </row>
    <row r="92" spans="2:9" s="250" customFormat="1" ht="15.75">
      <c r="B92" s="508"/>
      <c r="C92" s="509"/>
      <c r="D92" s="175" t="s">
        <v>602</v>
      </c>
      <c r="E92" s="178"/>
      <c r="F92" s="174" t="s">
        <v>21</v>
      </c>
      <c r="G92" s="238">
        <v>1360</v>
      </c>
      <c r="H92" s="222">
        <f t="shared" si="1"/>
        <v>1632</v>
      </c>
      <c r="I92" s="496" t="s">
        <v>205</v>
      </c>
    </row>
    <row r="93" spans="2:9" s="250" customFormat="1" ht="15.75">
      <c r="B93" s="508"/>
      <c r="C93" s="509"/>
      <c r="D93" s="175"/>
      <c r="E93" s="179"/>
      <c r="F93" s="174" t="s">
        <v>253</v>
      </c>
      <c r="G93" s="238">
        <v>1864</v>
      </c>
      <c r="H93" s="222">
        <f t="shared" si="1"/>
        <v>2236.7999999999997</v>
      </c>
      <c r="I93" s="496" t="s">
        <v>205</v>
      </c>
    </row>
    <row r="94" spans="2:9" s="250" customFormat="1" ht="15.75">
      <c r="B94" s="510" t="s">
        <v>603</v>
      </c>
      <c r="C94" s="511"/>
      <c r="D94" s="511"/>
      <c r="E94" s="511"/>
      <c r="F94" s="511"/>
      <c r="G94" s="511"/>
      <c r="H94" s="511"/>
      <c r="I94" s="512"/>
    </row>
    <row r="95" spans="2:9" s="250" customFormat="1" ht="15.75">
      <c r="B95" s="413"/>
      <c r="C95" s="513" t="s">
        <v>62</v>
      </c>
      <c r="D95" s="169" t="s">
        <v>546</v>
      </c>
      <c r="E95" s="170"/>
      <c r="F95" s="170"/>
      <c r="G95" s="170"/>
      <c r="H95" s="170"/>
      <c r="I95" s="171"/>
    </row>
    <row r="96" spans="2:9" s="250" customFormat="1" ht="15.75">
      <c r="B96" s="413"/>
      <c r="C96" s="513" t="s">
        <v>64</v>
      </c>
      <c r="D96" s="169" t="s">
        <v>65</v>
      </c>
      <c r="E96" s="170"/>
      <c r="F96" s="170"/>
      <c r="G96" s="170"/>
      <c r="H96" s="170"/>
      <c r="I96" s="171"/>
    </row>
    <row r="97" spans="2:9" s="250" customFormat="1" ht="31.5">
      <c r="B97" s="208">
        <v>7</v>
      </c>
      <c r="C97" s="513" t="s">
        <v>547</v>
      </c>
      <c r="D97" s="514" t="s">
        <v>548</v>
      </c>
      <c r="E97" s="174" t="s">
        <v>25</v>
      </c>
      <c r="F97" s="174"/>
      <c r="G97" s="175" t="s">
        <v>22</v>
      </c>
      <c r="H97" s="175"/>
      <c r="I97" s="496"/>
    </row>
    <row r="98" spans="2:9" s="250" customFormat="1" ht="15.75">
      <c r="B98" s="172">
        <v>8</v>
      </c>
      <c r="C98" s="515" t="s">
        <v>549</v>
      </c>
      <c r="D98" s="333" t="s">
        <v>550</v>
      </c>
      <c r="E98" s="175" t="s">
        <v>20</v>
      </c>
      <c r="F98" s="174" t="s">
        <v>21</v>
      </c>
      <c r="G98" s="516" t="s">
        <v>22</v>
      </c>
      <c r="H98" s="175"/>
      <c r="I98" s="176"/>
    </row>
    <row r="99" spans="2:9" s="250" customFormat="1" ht="15.75">
      <c r="B99" s="180"/>
      <c r="C99" s="517"/>
      <c r="D99" s="336"/>
      <c r="E99" s="175"/>
      <c r="F99" s="174" t="s">
        <v>253</v>
      </c>
      <c r="G99" s="516" t="s">
        <v>22</v>
      </c>
      <c r="H99" s="175"/>
      <c r="I99" s="702"/>
    </row>
    <row r="100" spans="2:9" s="250" customFormat="1" ht="15.75">
      <c r="B100" s="177">
        <v>9</v>
      </c>
      <c r="C100" s="504" t="s">
        <v>66</v>
      </c>
      <c r="D100" s="173" t="s">
        <v>604</v>
      </c>
      <c r="E100" s="175" t="s">
        <v>605</v>
      </c>
      <c r="F100" s="174" t="s">
        <v>21</v>
      </c>
      <c r="G100" s="238">
        <v>134</v>
      </c>
      <c r="H100" s="222">
        <f>G100*1.2</f>
        <v>160.79999999999998</v>
      </c>
      <c r="I100" s="552" t="s">
        <v>606</v>
      </c>
    </row>
    <row r="101" spans="2:9" s="250" customFormat="1" ht="15.75">
      <c r="B101" s="177"/>
      <c r="C101" s="505"/>
      <c r="D101" s="178"/>
      <c r="E101" s="175"/>
      <c r="F101" s="174" t="s">
        <v>467</v>
      </c>
      <c r="G101" s="238">
        <v>231</v>
      </c>
      <c r="H101" s="222">
        <f aca="true" t="shared" si="2" ref="H101:H107">G101*1.2</f>
        <v>277.2</v>
      </c>
      <c r="I101" s="565"/>
    </row>
    <row r="102" spans="2:9" s="250" customFormat="1" ht="15.75">
      <c r="B102" s="177"/>
      <c r="C102" s="505"/>
      <c r="D102" s="178"/>
      <c r="E102" s="175" t="s">
        <v>605</v>
      </c>
      <c r="F102" s="174" t="s">
        <v>21</v>
      </c>
      <c r="G102" s="238">
        <v>697</v>
      </c>
      <c r="H102" s="222">
        <f t="shared" si="2"/>
        <v>836.4</v>
      </c>
      <c r="I102" s="552" t="s">
        <v>607</v>
      </c>
    </row>
    <row r="103" spans="2:9" s="250" customFormat="1" ht="15.75">
      <c r="B103" s="177"/>
      <c r="C103" s="505"/>
      <c r="D103" s="178"/>
      <c r="E103" s="175"/>
      <c r="F103" s="174" t="s">
        <v>467</v>
      </c>
      <c r="G103" s="238">
        <v>1201</v>
      </c>
      <c r="H103" s="222">
        <f t="shared" si="2"/>
        <v>1441.2</v>
      </c>
      <c r="I103" s="565"/>
    </row>
    <row r="104" spans="2:9" s="250" customFormat="1" ht="15.75">
      <c r="B104" s="177"/>
      <c r="C104" s="505"/>
      <c r="D104" s="178"/>
      <c r="E104" s="175" t="s">
        <v>605</v>
      </c>
      <c r="F104" s="174" t="s">
        <v>21</v>
      </c>
      <c r="G104" s="238">
        <v>1045</v>
      </c>
      <c r="H104" s="222">
        <f t="shared" si="2"/>
        <v>1254</v>
      </c>
      <c r="I104" s="552" t="s">
        <v>608</v>
      </c>
    </row>
    <row r="105" spans="2:9" s="250" customFormat="1" ht="15.75">
      <c r="B105" s="177"/>
      <c r="C105" s="505"/>
      <c r="D105" s="178"/>
      <c r="E105" s="175"/>
      <c r="F105" s="174" t="s">
        <v>467</v>
      </c>
      <c r="G105" s="238">
        <v>1802</v>
      </c>
      <c r="H105" s="222">
        <f t="shared" si="2"/>
        <v>2162.4</v>
      </c>
      <c r="I105" s="565"/>
    </row>
    <row r="106" spans="2:9" s="250" customFormat="1" ht="63">
      <c r="B106" s="177"/>
      <c r="C106" s="505"/>
      <c r="D106" s="178"/>
      <c r="E106" s="173" t="s">
        <v>70</v>
      </c>
      <c r="F106" s="174" t="s">
        <v>25</v>
      </c>
      <c r="G106" s="194">
        <v>2112</v>
      </c>
      <c r="H106" s="222">
        <f t="shared" si="2"/>
        <v>2534.4</v>
      </c>
      <c r="I106" s="427" t="s">
        <v>464</v>
      </c>
    </row>
    <row r="107" spans="2:9" s="250" customFormat="1" ht="63">
      <c r="B107" s="177"/>
      <c r="C107" s="505"/>
      <c r="D107" s="178"/>
      <c r="E107" s="179"/>
      <c r="F107" s="174" t="s">
        <v>25</v>
      </c>
      <c r="G107" s="194">
        <v>3168</v>
      </c>
      <c r="H107" s="222">
        <f t="shared" si="2"/>
        <v>3801.6</v>
      </c>
      <c r="I107" s="427" t="s">
        <v>212</v>
      </c>
    </row>
    <row r="108" spans="2:9" s="250" customFormat="1" ht="47.25">
      <c r="B108" s="177"/>
      <c r="C108" s="505"/>
      <c r="D108" s="178"/>
      <c r="E108" s="9" t="s">
        <v>68</v>
      </c>
      <c r="F108" s="194" t="s">
        <v>20</v>
      </c>
      <c r="G108" s="9" t="s">
        <v>22</v>
      </c>
      <c r="H108" s="9"/>
      <c r="I108" s="427" t="s">
        <v>69</v>
      </c>
    </row>
    <row r="109" spans="2:9" s="250" customFormat="1" ht="15.75">
      <c r="B109" s="180"/>
      <c r="C109" s="506"/>
      <c r="D109" s="179"/>
      <c r="E109" s="287" t="s">
        <v>70</v>
      </c>
      <c r="F109" s="194" t="s">
        <v>25</v>
      </c>
      <c r="G109" s="9" t="s">
        <v>22</v>
      </c>
      <c r="H109" s="9"/>
      <c r="I109" s="604"/>
    </row>
    <row r="110" spans="2:9" s="250" customFormat="1" ht="15.75">
      <c r="B110" s="338"/>
      <c r="C110" s="513" t="s">
        <v>81</v>
      </c>
      <c r="D110" s="169" t="s">
        <v>82</v>
      </c>
      <c r="E110" s="170"/>
      <c r="F110" s="170"/>
      <c r="G110" s="170"/>
      <c r="H110" s="170"/>
      <c r="I110" s="171"/>
    </row>
    <row r="111" spans="2:9" s="250" customFormat="1" ht="15.75">
      <c r="B111" s="172">
        <v>10</v>
      </c>
      <c r="C111" s="513" t="s">
        <v>83</v>
      </c>
      <c r="D111" s="169" t="s">
        <v>609</v>
      </c>
      <c r="E111" s="170"/>
      <c r="F111" s="170"/>
      <c r="G111" s="170"/>
      <c r="H111" s="170"/>
      <c r="I111" s="171"/>
    </row>
    <row r="112" spans="2:9" s="250" customFormat="1" ht="15.75">
      <c r="B112" s="177"/>
      <c r="C112" s="515"/>
      <c r="D112" s="173" t="s">
        <v>610</v>
      </c>
      <c r="E112" s="175" t="s">
        <v>87</v>
      </c>
      <c r="F112" s="518" t="s">
        <v>100</v>
      </c>
      <c r="G112" s="222">
        <v>1042</v>
      </c>
      <c r="H112" s="222">
        <f>G112*1.2</f>
        <v>1250.3999999999999</v>
      </c>
      <c r="I112" s="519" t="s">
        <v>761</v>
      </c>
    </row>
    <row r="113" spans="2:9" s="250" customFormat="1" ht="15.75">
      <c r="B113" s="177"/>
      <c r="C113" s="520"/>
      <c r="D113" s="178"/>
      <c r="E113" s="175"/>
      <c r="F113" s="518" t="s">
        <v>21</v>
      </c>
      <c r="G113" s="222">
        <v>1735</v>
      </c>
      <c r="H113" s="222">
        <f aca="true" t="shared" si="3" ref="H113:H118">G113*1.2</f>
        <v>2082</v>
      </c>
      <c r="I113" s="521"/>
    </row>
    <row r="114" spans="2:9" s="250" customFormat="1" ht="63">
      <c r="B114" s="177"/>
      <c r="C114" s="520"/>
      <c r="D114" s="186" t="s">
        <v>611</v>
      </c>
      <c r="E114" s="175"/>
      <c r="F114" s="186" t="s">
        <v>21</v>
      </c>
      <c r="G114" s="222">
        <v>2077</v>
      </c>
      <c r="H114" s="222">
        <f t="shared" si="3"/>
        <v>2492.4</v>
      </c>
      <c r="I114" s="521"/>
    </row>
    <row r="115" spans="2:9" s="250" customFormat="1" ht="15.75">
      <c r="B115" s="177"/>
      <c r="C115" s="520"/>
      <c r="D115" s="173" t="s">
        <v>91</v>
      </c>
      <c r="E115" s="173" t="s">
        <v>87</v>
      </c>
      <c r="F115" s="518" t="s">
        <v>100</v>
      </c>
      <c r="G115" s="222">
        <v>151</v>
      </c>
      <c r="H115" s="222">
        <f t="shared" si="3"/>
        <v>181.2</v>
      </c>
      <c r="I115" s="521"/>
    </row>
    <row r="116" spans="2:9" s="250" customFormat="1" ht="15.75">
      <c r="B116" s="177"/>
      <c r="C116" s="520"/>
      <c r="D116" s="178"/>
      <c r="E116" s="179"/>
      <c r="F116" s="518" t="s">
        <v>21</v>
      </c>
      <c r="G116" s="222">
        <v>680</v>
      </c>
      <c r="H116" s="222">
        <f t="shared" si="3"/>
        <v>816</v>
      </c>
      <c r="I116" s="521"/>
    </row>
    <row r="117" spans="2:9" s="250" customFormat="1" ht="47.25">
      <c r="B117" s="177"/>
      <c r="C117" s="520"/>
      <c r="D117" s="174" t="s">
        <v>92</v>
      </c>
      <c r="E117" s="173" t="s">
        <v>87</v>
      </c>
      <c r="F117" s="173" t="s">
        <v>253</v>
      </c>
      <c r="G117" s="222">
        <v>2077</v>
      </c>
      <c r="H117" s="222">
        <f t="shared" si="3"/>
        <v>2492.4</v>
      </c>
      <c r="I117" s="521"/>
    </row>
    <row r="118" spans="2:9" s="250" customFormat="1" ht="47.25">
      <c r="B118" s="177"/>
      <c r="C118" s="517"/>
      <c r="D118" s="174" t="s">
        <v>91</v>
      </c>
      <c r="E118" s="179"/>
      <c r="F118" s="179"/>
      <c r="G118" s="222">
        <v>932</v>
      </c>
      <c r="H118" s="222">
        <f t="shared" si="3"/>
        <v>1118.3999999999999</v>
      </c>
      <c r="I118" s="521"/>
    </row>
    <row r="119" spans="2:9" s="250" customFormat="1" ht="15.75">
      <c r="B119" s="172">
        <v>11</v>
      </c>
      <c r="C119" s="513" t="s">
        <v>93</v>
      </c>
      <c r="D119" s="169" t="s">
        <v>94</v>
      </c>
      <c r="E119" s="170"/>
      <c r="F119" s="170"/>
      <c r="G119" s="170"/>
      <c r="H119" s="170"/>
      <c r="I119" s="171"/>
    </row>
    <row r="120" spans="2:9" s="250" customFormat="1" ht="15.75">
      <c r="B120" s="177"/>
      <c r="C120" s="515"/>
      <c r="D120" s="173" t="s">
        <v>612</v>
      </c>
      <c r="E120" s="173" t="s">
        <v>613</v>
      </c>
      <c r="F120" s="174" t="s">
        <v>21</v>
      </c>
      <c r="G120" s="238">
        <v>169</v>
      </c>
      <c r="H120" s="222">
        <f>G120*1.2</f>
        <v>202.79999999999998</v>
      </c>
      <c r="I120" s="703" t="s">
        <v>783</v>
      </c>
    </row>
    <row r="121" spans="2:9" s="250" customFormat="1" ht="15.75">
      <c r="B121" s="177"/>
      <c r="C121" s="520"/>
      <c r="D121" s="178"/>
      <c r="E121" s="178"/>
      <c r="F121" s="174" t="s">
        <v>24</v>
      </c>
      <c r="G121" s="238">
        <v>251</v>
      </c>
      <c r="H121" s="222">
        <f>G121*1.2</f>
        <v>301.2</v>
      </c>
      <c r="I121" s="703"/>
    </row>
    <row r="122" spans="2:9" s="250" customFormat="1" ht="15.75">
      <c r="B122" s="177"/>
      <c r="C122" s="520"/>
      <c r="D122" s="178"/>
      <c r="E122" s="178"/>
      <c r="F122" s="174" t="s">
        <v>298</v>
      </c>
      <c r="G122" s="238">
        <v>259</v>
      </c>
      <c r="H122" s="222">
        <f>G122*1.2</f>
        <v>310.8</v>
      </c>
      <c r="I122" s="703"/>
    </row>
    <row r="123" spans="2:9" s="250" customFormat="1" ht="15.75">
      <c r="B123" s="177"/>
      <c r="C123" s="520"/>
      <c r="D123" s="178"/>
      <c r="E123" s="178"/>
      <c r="F123" s="174" t="s">
        <v>21</v>
      </c>
      <c r="G123" s="238">
        <v>1687</v>
      </c>
      <c r="H123" s="222">
        <f>G123*1.2</f>
        <v>2024.3999999999999</v>
      </c>
      <c r="I123" s="703" t="s">
        <v>614</v>
      </c>
    </row>
    <row r="124" spans="2:9" s="250" customFormat="1" ht="15.75">
      <c r="B124" s="177"/>
      <c r="C124" s="520"/>
      <c r="D124" s="178"/>
      <c r="E124" s="178"/>
      <c r="F124" s="174" t="s">
        <v>24</v>
      </c>
      <c r="G124" s="238">
        <v>1950</v>
      </c>
      <c r="H124" s="222">
        <f aca="true" t="shared" si="4" ref="H124:H133">G124*1.2</f>
        <v>2340</v>
      </c>
      <c r="I124" s="703"/>
    </row>
    <row r="125" spans="2:9" s="250" customFormat="1" ht="15.75">
      <c r="B125" s="177"/>
      <c r="C125" s="520"/>
      <c r="D125" s="178"/>
      <c r="E125" s="179"/>
      <c r="F125" s="174" t="s">
        <v>298</v>
      </c>
      <c r="G125" s="238">
        <v>2006</v>
      </c>
      <c r="H125" s="222">
        <f t="shared" si="4"/>
        <v>2407.2</v>
      </c>
      <c r="I125" s="703"/>
    </row>
    <row r="126" spans="2:9" s="250" customFormat="1" ht="15.75">
      <c r="B126" s="177"/>
      <c r="C126" s="520"/>
      <c r="D126" s="178"/>
      <c r="E126" s="173" t="s">
        <v>613</v>
      </c>
      <c r="F126" s="174" t="s">
        <v>21</v>
      </c>
      <c r="G126" s="238">
        <v>49</v>
      </c>
      <c r="H126" s="222">
        <f t="shared" si="4"/>
        <v>58.8</v>
      </c>
      <c r="I126" s="703" t="s">
        <v>615</v>
      </c>
    </row>
    <row r="127" spans="2:9" s="250" customFormat="1" ht="15.75">
      <c r="B127" s="177"/>
      <c r="C127" s="520"/>
      <c r="D127" s="178"/>
      <c r="E127" s="178"/>
      <c r="F127" s="174" t="s">
        <v>24</v>
      </c>
      <c r="G127" s="238">
        <v>69</v>
      </c>
      <c r="H127" s="222">
        <f t="shared" si="4"/>
        <v>82.8</v>
      </c>
      <c r="I127" s="703"/>
    </row>
    <row r="128" spans="2:9" s="250" customFormat="1" ht="15.75">
      <c r="B128" s="177"/>
      <c r="C128" s="520"/>
      <c r="D128" s="178"/>
      <c r="E128" s="179"/>
      <c r="F128" s="174" t="s">
        <v>298</v>
      </c>
      <c r="G128" s="238">
        <v>71</v>
      </c>
      <c r="H128" s="222">
        <f t="shared" si="4"/>
        <v>85.2</v>
      </c>
      <c r="I128" s="703"/>
    </row>
    <row r="129" spans="2:9" s="250" customFormat="1" ht="15.75">
      <c r="B129" s="177"/>
      <c r="C129" s="520"/>
      <c r="D129" s="178"/>
      <c r="E129" s="173" t="s">
        <v>96</v>
      </c>
      <c r="F129" s="174" t="s">
        <v>100</v>
      </c>
      <c r="G129" s="222">
        <v>820</v>
      </c>
      <c r="H129" s="222">
        <f t="shared" si="4"/>
        <v>984</v>
      </c>
      <c r="I129" s="176" t="s">
        <v>222</v>
      </c>
    </row>
    <row r="130" spans="2:9" s="250" customFormat="1" ht="15.75">
      <c r="B130" s="177"/>
      <c r="C130" s="520"/>
      <c r="D130" s="178"/>
      <c r="E130" s="178"/>
      <c r="F130" s="174" t="s">
        <v>21</v>
      </c>
      <c r="G130" s="238">
        <v>1700</v>
      </c>
      <c r="H130" s="222">
        <f t="shared" si="4"/>
        <v>2040</v>
      </c>
      <c r="I130" s="686"/>
    </row>
    <row r="131" spans="2:9" s="250" customFormat="1" ht="15.75">
      <c r="B131" s="177"/>
      <c r="C131" s="520"/>
      <c r="D131" s="178"/>
      <c r="E131" s="178"/>
      <c r="F131" s="174" t="s">
        <v>24</v>
      </c>
      <c r="G131" s="238">
        <v>2532</v>
      </c>
      <c r="H131" s="222">
        <f t="shared" si="4"/>
        <v>3038.4</v>
      </c>
      <c r="I131" s="686"/>
    </row>
    <row r="132" spans="2:9" s="250" customFormat="1" ht="15.75">
      <c r="B132" s="177"/>
      <c r="C132" s="520"/>
      <c r="D132" s="178"/>
      <c r="E132" s="179"/>
      <c r="F132" s="174" t="s">
        <v>298</v>
      </c>
      <c r="G132" s="238">
        <v>2603</v>
      </c>
      <c r="H132" s="222">
        <f t="shared" si="4"/>
        <v>3123.6</v>
      </c>
      <c r="I132" s="702"/>
    </row>
    <row r="133" spans="2:9" s="250" customFormat="1" ht="15.75">
      <c r="B133" s="177"/>
      <c r="C133" s="517"/>
      <c r="D133" s="179"/>
      <c r="E133" s="174" t="s">
        <v>380</v>
      </c>
      <c r="F133" s="174"/>
      <c r="G133" s="238">
        <v>171</v>
      </c>
      <c r="H133" s="222">
        <f t="shared" si="4"/>
        <v>205.2</v>
      </c>
      <c r="I133" s="496" t="s">
        <v>616</v>
      </c>
    </row>
    <row r="134" spans="2:9" s="250" customFormat="1" ht="15.75">
      <c r="B134" s="172">
        <v>12</v>
      </c>
      <c r="C134" s="522" t="s">
        <v>223</v>
      </c>
      <c r="D134" s="169" t="s">
        <v>224</v>
      </c>
      <c r="E134" s="170"/>
      <c r="F134" s="170"/>
      <c r="G134" s="170"/>
      <c r="H134" s="170"/>
      <c r="I134" s="171"/>
    </row>
    <row r="135" spans="2:9" s="250" customFormat="1" ht="15.75">
      <c r="B135" s="177"/>
      <c r="C135" s="515"/>
      <c r="D135" s="173" t="s">
        <v>617</v>
      </c>
      <c r="E135" s="173" t="s">
        <v>20</v>
      </c>
      <c r="F135" s="174" t="s">
        <v>21</v>
      </c>
      <c r="G135" s="222">
        <v>11017</v>
      </c>
      <c r="H135" s="222">
        <f>G135*1.2</f>
        <v>13220.4</v>
      </c>
      <c r="I135" s="176" t="s">
        <v>618</v>
      </c>
    </row>
    <row r="136" spans="2:9" s="250" customFormat="1" ht="15.75">
      <c r="B136" s="177"/>
      <c r="C136" s="520"/>
      <c r="D136" s="179"/>
      <c r="E136" s="179"/>
      <c r="F136" s="174" t="s">
        <v>24</v>
      </c>
      <c r="G136" s="222">
        <v>14407</v>
      </c>
      <c r="H136" s="222">
        <f aca="true" t="shared" si="5" ref="H136:H142">G136*1.2</f>
        <v>17288.399999999998</v>
      </c>
      <c r="I136" s="609"/>
    </row>
    <row r="137" spans="2:9" s="250" customFormat="1" ht="15.75">
      <c r="B137" s="177"/>
      <c r="C137" s="520"/>
      <c r="D137" s="173" t="s">
        <v>617</v>
      </c>
      <c r="E137" s="173" t="s">
        <v>20</v>
      </c>
      <c r="F137" s="174" t="s">
        <v>21</v>
      </c>
      <c r="G137" s="222">
        <v>15749</v>
      </c>
      <c r="H137" s="222">
        <f>G137*1.2</f>
        <v>18898.8</v>
      </c>
      <c r="I137" s="176" t="s">
        <v>619</v>
      </c>
    </row>
    <row r="138" spans="2:9" s="250" customFormat="1" ht="15.75">
      <c r="B138" s="177"/>
      <c r="C138" s="520"/>
      <c r="D138" s="179"/>
      <c r="E138" s="179"/>
      <c r="F138" s="174" t="s">
        <v>221</v>
      </c>
      <c r="G138" s="222">
        <v>18305</v>
      </c>
      <c r="H138" s="222">
        <f t="shared" si="5"/>
        <v>21966</v>
      </c>
      <c r="I138" s="609"/>
    </row>
    <row r="139" spans="2:9" s="250" customFormat="1" ht="15.75">
      <c r="B139" s="177"/>
      <c r="C139" s="520"/>
      <c r="D139" s="173" t="s">
        <v>617</v>
      </c>
      <c r="E139" s="174" t="s">
        <v>620</v>
      </c>
      <c r="F139" s="174" t="s">
        <v>621</v>
      </c>
      <c r="G139" s="222">
        <v>309</v>
      </c>
      <c r="H139" s="222">
        <f t="shared" si="5"/>
        <v>370.8</v>
      </c>
      <c r="I139" s="496" t="s">
        <v>622</v>
      </c>
    </row>
    <row r="140" spans="2:9" s="250" customFormat="1" ht="15.75">
      <c r="B140" s="180"/>
      <c r="C140" s="517"/>
      <c r="D140" s="179"/>
      <c r="E140" s="174" t="s">
        <v>623</v>
      </c>
      <c r="F140" s="174" t="s">
        <v>621</v>
      </c>
      <c r="G140" s="222">
        <v>848</v>
      </c>
      <c r="H140" s="222">
        <f t="shared" si="5"/>
        <v>1017.5999999999999</v>
      </c>
      <c r="I140" s="496" t="s">
        <v>624</v>
      </c>
    </row>
    <row r="141" spans="2:9" s="250" customFormat="1" ht="15.75">
      <c r="B141" s="172">
        <v>13</v>
      </c>
      <c r="C141" s="515" t="s">
        <v>107</v>
      </c>
      <c r="D141" s="173" t="s">
        <v>108</v>
      </c>
      <c r="E141" s="173" t="s">
        <v>109</v>
      </c>
      <c r="F141" s="173"/>
      <c r="G141" s="222">
        <v>468</v>
      </c>
      <c r="H141" s="222">
        <f t="shared" si="5"/>
        <v>561.6</v>
      </c>
      <c r="I141" s="234" t="s">
        <v>625</v>
      </c>
    </row>
    <row r="142" spans="2:9" s="250" customFormat="1" ht="15.75">
      <c r="B142" s="180"/>
      <c r="C142" s="517"/>
      <c r="D142" s="211"/>
      <c r="E142" s="179"/>
      <c r="F142" s="179"/>
      <c r="G142" s="222">
        <v>356</v>
      </c>
      <c r="H142" s="222">
        <f t="shared" si="5"/>
        <v>427.2</v>
      </c>
      <c r="I142" s="234" t="s">
        <v>626</v>
      </c>
    </row>
    <row r="143" spans="2:9" s="250" customFormat="1" ht="15.75">
      <c r="B143" s="172">
        <v>14</v>
      </c>
      <c r="C143" s="513" t="s">
        <v>112</v>
      </c>
      <c r="D143" s="169" t="s">
        <v>113</v>
      </c>
      <c r="E143" s="170"/>
      <c r="F143" s="170"/>
      <c r="G143" s="170"/>
      <c r="H143" s="170"/>
      <c r="I143" s="171"/>
    </row>
    <row r="144" spans="2:9" s="250" customFormat="1" ht="31.5">
      <c r="B144" s="177"/>
      <c r="C144" s="515"/>
      <c r="D144" s="173" t="s">
        <v>113</v>
      </c>
      <c r="E144" s="174" t="s">
        <v>20</v>
      </c>
      <c r="F144" s="174" t="s">
        <v>627</v>
      </c>
      <c r="G144" s="238">
        <v>24576</v>
      </c>
      <c r="H144" s="222">
        <f>G144*1.2</f>
        <v>29491.199999999997</v>
      </c>
      <c r="I144" s="496" t="s">
        <v>628</v>
      </c>
    </row>
    <row r="145" spans="2:9" s="250" customFormat="1" ht="31.5">
      <c r="B145" s="180"/>
      <c r="C145" s="517"/>
      <c r="D145" s="179"/>
      <c r="E145" s="174" t="s">
        <v>151</v>
      </c>
      <c r="F145" s="174"/>
      <c r="G145" s="222">
        <v>2720</v>
      </c>
      <c r="H145" s="222">
        <f aca="true" t="shared" si="6" ref="H145:H151">G145*1.2</f>
        <v>3264</v>
      </c>
      <c r="I145" s="234" t="s">
        <v>629</v>
      </c>
    </row>
    <row r="146" spans="2:9" s="250" customFormat="1" ht="31.5">
      <c r="B146" s="172">
        <v>15</v>
      </c>
      <c r="C146" s="515" t="s">
        <v>630</v>
      </c>
      <c r="D146" s="173" t="s">
        <v>313</v>
      </c>
      <c r="E146" s="174" t="s">
        <v>20</v>
      </c>
      <c r="F146" s="174" t="s">
        <v>631</v>
      </c>
      <c r="G146" s="238">
        <v>741</v>
      </c>
      <c r="H146" s="222">
        <f t="shared" si="6"/>
        <v>889.1999999999999</v>
      </c>
      <c r="I146" s="496" t="s">
        <v>632</v>
      </c>
    </row>
    <row r="147" spans="2:9" s="250" customFormat="1" ht="31.5">
      <c r="B147" s="177"/>
      <c r="C147" s="520"/>
      <c r="D147" s="178"/>
      <c r="E147" s="174" t="s">
        <v>20</v>
      </c>
      <c r="F147" s="174" t="s">
        <v>631</v>
      </c>
      <c r="G147" s="238">
        <v>2195</v>
      </c>
      <c r="H147" s="222">
        <f t="shared" si="6"/>
        <v>2634</v>
      </c>
      <c r="I147" s="496" t="s">
        <v>633</v>
      </c>
    </row>
    <row r="148" spans="2:9" s="250" customFormat="1" ht="15.75">
      <c r="B148" s="180"/>
      <c r="C148" s="517"/>
      <c r="D148" s="179"/>
      <c r="E148" s="174" t="s">
        <v>634</v>
      </c>
      <c r="F148" s="174" t="s">
        <v>323</v>
      </c>
      <c r="G148" s="238">
        <v>632</v>
      </c>
      <c r="H148" s="222">
        <f t="shared" si="6"/>
        <v>758.4</v>
      </c>
      <c r="I148" s="496"/>
    </row>
    <row r="149" spans="2:9" s="250" customFormat="1" ht="31.5">
      <c r="B149" s="523">
        <v>16</v>
      </c>
      <c r="C149" s="513" t="s">
        <v>116</v>
      </c>
      <c r="D149" s="174" t="s">
        <v>635</v>
      </c>
      <c r="E149" s="174" t="s">
        <v>118</v>
      </c>
      <c r="F149" s="174"/>
      <c r="G149" s="238">
        <v>1195</v>
      </c>
      <c r="H149" s="222">
        <f t="shared" si="6"/>
        <v>1434</v>
      </c>
      <c r="I149" s="496"/>
    </row>
    <row r="150" spans="2:9" s="250" customFormat="1" ht="31.5">
      <c r="B150" s="523">
        <v>17</v>
      </c>
      <c r="C150" s="513" t="s">
        <v>231</v>
      </c>
      <c r="D150" s="174" t="s">
        <v>486</v>
      </c>
      <c r="E150" s="174" t="s">
        <v>20</v>
      </c>
      <c r="F150" s="174" t="s">
        <v>636</v>
      </c>
      <c r="G150" s="238">
        <v>511</v>
      </c>
      <c r="H150" s="222">
        <f t="shared" si="6"/>
        <v>613.1999999999999</v>
      </c>
      <c r="I150" s="496" t="s">
        <v>637</v>
      </c>
    </row>
    <row r="151" spans="2:9" s="250" customFormat="1" ht="31.5">
      <c r="B151" s="208">
        <v>18</v>
      </c>
      <c r="C151" s="503" t="s">
        <v>487</v>
      </c>
      <c r="D151" s="174" t="s">
        <v>638</v>
      </c>
      <c r="E151" s="174" t="s">
        <v>20</v>
      </c>
      <c r="F151" s="174" t="s">
        <v>636</v>
      </c>
      <c r="G151" s="222">
        <v>641</v>
      </c>
      <c r="H151" s="222">
        <f t="shared" si="6"/>
        <v>769.1999999999999</v>
      </c>
      <c r="I151" s="496"/>
    </row>
    <row r="152" spans="2:9" s="250" customFormat="1" ht="15.75">
      <c r="B152" s="172">
        <v>19</v>
      </c>
      <c r="C152" s="503" t="s">
        <v>122</v>
      </c>
      <c r="D152" s="169" t="s">
        <v>393</v>
      </c>
      <c r="E152" s="170"/>
      <c r="F152" s="170"/>
      <c r="G152" s="170"/>
      <c r="H152" s="170"/>
      <c r="I152" s="171"/>
    </row>
    <row r="153" spans="2:9" s="250" customFormat="1" ht="15.75">
      <c r="B153" s="177"/>
      <c r="C153" s="504"/>
      <c r="D153" s="333" t="s">
        <v>393</v>
      </c>
      <c r="E153" s="173" t="s">
        <v>20</v>
      </c>
      <c r="F153" s="174" t="s">
        <v>100</v>
      </c>
      <c r="G153" s="238">
        <v>722</v>
      </c>
      <c r="H153" s="222">
        <f>G153*1.2</f>
        <v>866.4</v>
      </c>
      <c r="I153" s="176" t="s">
        <v>124</v>
      </c>
    </row>
    <row r="154" spans="2:9" s="250" customFormat="1" ht="15.75">
      <c r="B154" s="177"/>
      <c r="C154" s="505"/>
      <c r="D154" s="334"/>
      <c r="E154" s="178"/>
      <c r="F154" s="174" t="s">
        <v>21</v>
      </c>
      <c r="G154" s="238">
        <v>1324</v>
      </c>
      <c r="H154" s="222">
        <f>G154*1.2</f>
        <v>1588.8</v>
      </c>
      <c r="I154" s="686"/>
    </row>
    <row r="155" spans="2:9" s="250" customFormat="1" ht="15.75">
      <c r="B155" s="177"/>
      <c r="C155" s="505"/>
      <c r="D155" s="334"/>
      <c r="E155" s="178"/>
      <c r="F155" s="174" t="s">
        <v>24</v>
      </c>
      <c r="G155" s="238">
        <v>1931</v>
      </c>
      <c r="H155" s="222">
        <f>G155*1.2</f>
        <v>2317.2</v>
      </c>
      <c r="I155" s="686"/>
    </row>
    <row r="156" spans="2:9" s="250" customFormat="1" ht="15.75">
      <c r="B156" s="177"/>
      <c r="C156" s="505"/>
      <c r="D156" s="334"/>
      <c r="E156" s="179"/>
      <c r="F156" s="174" t="s">
        <v>298</v>
      </c>
      <c r="G156" s="238">
        <v>1985</v>
      </c>
      <c r="H156" s="222">
        <f>G156*1.2</f>
        <v>2382</v>
      </c>
      <c r="I156" s="702"/>
    </row>
    <row r="157" spans="2:9" s="250" customFormat="1" ht="15.75">
      <c r="B157" s="177"/>
      <c r="C157" s="505"/>
      <c r="D157" s="334"/>
      <c r="E157" s="173" t="s">
        <v>20</v>
      </c>
      <c r="F157" s="174" t="s">
        <v>21</v>
      </c>
      <c r="G157" s="238">
        <v>4415</v>
      </c>
      <c r="H157" s="222">
        <f>G157*1.2</f>
        <v>5298</v>
      </c>
      <c r="I157" s="176" t="s">
        <v>639</v>
      </c>
    </row>
    <row r="158" spans="2:9" s="250" customFormat="1" ht="15.75">
      <c r="B158" s="177"/>
      <c r="C158" s="505"/>
      <c r="D158" s="334"/>
      <c r="E158" s="179"/>
      <c r="F158" s="174" t="s">
        <v>253</v>
      </c>
      <c r="G158" s="238">
        <v>4847</v>
      </c>
      <c r="H158" s="222">
        <f>G158*1.2</f>
        <v>5816.4</v>
      </c>
      <c r="I158" s="702"/>
    </row>
    <row r="159" spans="2:9" s="250" customFormat="1" ht="63">
      <c r="B159" s="177"/>
      <c r="C159" s="505"/>
      <c r="D159" s="334"/>
      <c r="E159" s="174" t="s">
        <v>118</v>
      </c>
      <c r="F159" s="174"/>
      <c r="G159" s="555" t="s">
        <v>126</v>
      </c>
      <c r="H159" s="556"/>
      <c r="I159" s="234" t="s">
        <v>128</v>
      </c>
    </row>
    <row r="160" spans="2:9" s="250" customFormat="1" ht="31.5">
      <c r="B160" s="180"/>
      <c r="C160" s="506"/>
      <c r="D160" s="336"/>
      <c r="E160" s="174" t="s">
        <v>20</v>
      </c>
      <c r="F160" s="174" t="s">
        <v>105</v>
      </c>
      <c r="G160" s="238">
        <v>1195</v>
      </c>
      <c r="H160" s="222">
        <f>G160*1.2</f>
        <v>1434</v>
      </c>
      <c r="I160" s="704" t="s">
        <v>490</v>
      </c>
    </row>
    <row r="161" spans="2:9" s="250" customFormat="1" ht="15.75">
      <c r="B161" s="508">
        <v>20</v>
      </c>
      <c r="C161" s="503" t="s">
        <v>318</v>
      </c>
      <c r="D161" s="169" t="s">
        <v>319</v>
      </c>
      <c r="E161" s="170"/>
      <c r="F161" s="170"/>
      <c r="G161" s="170"/>
      <c r="H161" s="170"/>
      <c r="I161" s="171"/>
    </row>
    <row r="162" spans="2:9" s="250" customFormat="1" ht="15.75">
      <c r="B162" s="508"/>
      <c r="C162" s="504"/>
      <c r="D162" s="173" t="s">
        <v>319</v>
      </c>
      <c r="E162" s="173" t="s">
        <v>151</v>
      </c>
      <c r="F162" s="174" t="s">
        <v>640</v>
      </c>
      <c r="G162" s="222">
        <v>4534</v>
      </c>
      <c r="H162" s="222">
        <f>G162*1.2</f>
        <v>5440.8</v>
      </c>
      <c r="I162" s="176" t="s">
        <v>641</v>
      </c>
    </row>
    <row r="163" spans="2:9" s="250" customFormat="1" ht="15.75">
      <c r="B163" s="508"/>
      <c r="C163" s="505"/>
      <c r="D163" s="178"/>
      <c r="E163" s="179"/>
      <c r="F163" s="174" t="s">
        <v>642</v>
      </c>
      <c r="G163" s="222">
        <v>5441</v>
      </c>
      <c r="H163" s="222">
        <f>G163*1.2</f>
        <v>6529.2</v>
      </c>
      <c r="I163" s="702"/>
    </row>
    <row r="164" spans="2:9" s="250" customFormat="1" ht="15.75">
      <c r="B164" s="508"/>
      <c r="C164" s="505"/>
      <c r="D164" s="178"/>
      <c r="E164" s="173" t="s">
        <v>151</v>
      </c>
      <c r="F164" s="174" t="s">
        <v>640</v>
      </c>
      <c r="G164" s="222">
        <v>1814</v>
      </c>
      <c r="H164" s="222">
        <f>G164*1.2</f>
        <v>2176.7999999999997</v>
      </c>
      <c r="I164" s="176" t="s">
        <v>326</v>
      </c>
    </row>
    <row r="165" spans="2:9" s="250" customFormat="1" ht="15.75">
      <c r="B165" s="508"/>
      <c r="C165" s="505"/>
      <c r="D165" s="178"/>
      <c r="E165" s="179"/>
      <c r="F165" s="174" t="s">
        <v>642</v>
      </c>
      <c r="G165" s="222">
        <v>2267</v>
      </c>
      <c r="H165" s="222">
        <f>G165*1.2</f>
        <v>2720.4</v>
      </c>
      <c r="I165" s="702"/>
    </row>
    <row r="166" spans="2:9" s="250" customFormat="1" ht="31.5">
      <c r="B166" s="508"/>
      <c r="C166" s="506"/>
      <c r="D166" s="179"/>
      <c r="E166" s="174" t="s">
        <v>151</v>
      </c>
      <c r="F166" s="174" t="s">
        <v>643</v>
      </c>
      <c r="G166" s="238">
        <v>2966</v>
      </c>
      <c r="H166" s="222">
        <f>G166*1.2</f>
        <v>3559.2</v>
      </c>
      <c r="I166" s="234" t="s">
        <v>644</v>
      </c>
    </row>
    <row r="167" spans="2:9" s="250" customFormat="1" ht="15.75">
      <c r="B167" s="338"/>
      <c r="C167" s="503" t="s">
        <v>129</v>
      </c>
      <c r="D167" s="169" t="s">
        <v>561</v>
      </c>
      <c r="E167" s="170"/>
      <c r="F167" s="170"/>
      <c r="G167" s="170"/>
      <c r="H167" s="170"/>
      <c r="I167" s="171"/>
    </row>
    <row r="168" spans="2:9" s="250" customFormat="1" ht="15.75">
      <c r="B168" s="177">
        <v>21</v>
      </c>
      <c r="C168" s="524" t="s">
        <v>139</v>
      </c>
      <c r="D168" s="173" t="s">
        <v>140</v>
      </c>
      <c r="E168" s="173" t="s">
        <v>20</v>
      </c>
      <c r="F168" s="173" t="s">
        <v>105</v>
      </c>
      <c r="G168" s="226" t="s">
        <v>22</v>
      </c>
      <c r="H168" s="227"/>
      <c r="I168" s="176" t="s">
        <v>331</v>
      </c>
    </row>
    <row r="169" spans="2:9" s="250" customFormat="1" ht="15.75">
      <c r="B169" s="177"/>
      <c r="C169" s="525"/>
      <c r="D169" s="179"/>
      <c r="E169" s="179"/>
      <c r="F169" s="179"/>
      <c r="G169" s="526"/>
      <c r="H169" s="527"/>
      <c r="I169" s="686"/>
    </row>
    <row r="170" spans="2:9" s="250" customFormat="1" ht="63">
      <c r="B170" s="208">
        <v>22</v>
      </c>
      <c r="C170" s="503" t="s">
        <v>142</v>
      </c>
      <c r="D170" s="174" t="s">
        <v>143</v>
      </c>
      <c r="E170" s="174" t="s">
        <v>20</v>
      </c>
      <c r="F170" s="173" t="s">
        <v>105</v>
      </c>
      <c r="G170" s="218" t="s">
        <v>563</v>
      </c>
      <c r="H170" s="516"/>
      <c r="I170" s="496"/>
    </row>
    <row r="171" spans="2:9" s="250" customFormat="1" ht="15.75">
      <c r="B171" s="508">
        <v>23</v>
      </c>
      <c r="C171" s="528" t="s">
        <v>238</v>
      </c>
      <c r="D171" s="175" t="s">
        <v>239</v>
      </c>
      <c r="E171" s="174" t="s">
        <v>118</v>
      </c>
      <c r="F171" s="179"/>
      <c r="G171" s="222">
        <v>7254</v>
      </c>
      <c r="H171" s="222">
        <f>G171*1.2</f>
        <v>8704.8</v>
      </c>
      <c r="I171" s="667" t="s">
        <v>148</v>
      </c>
    </row>
    <row r="172" spans="2:9" s="250" customFormat="1" ht="15.75">
      <c r="B172" s="508"/>
      <c r="C172" s="528"/>
      <c r="D172" s="175"/>
      <c r="E172" s="174" t="s">
        <v>118</v>
      </c>
      <c r="F172" s="174"/>
      <c r="G172" s="222">
        <v>29924</v>
      </c>
      <c r="H172" s="222">
        <f>G172*1.2</f>
        <v>35908.799999999996</v>
      </c>
      <c r="I172" s="667" t="s">
        <v>645</v>
      </c>
    </row>
    <row r="173" spans="2:9" s="250" customFormat="1" ht="31.5">
      <c r="B173" s="523">
        <v>24</v>
      </c>
      <c r="C173" s="707" t="s">
        <v>149</v>
      </c>
      <c r="D173" s="223" t="s">
        <v>646</v>
      </c>
      <c r="E173" s="174" t="s">
        <v>151</v>
      </c>
      <c r="F173" s="174" t="s">
        <v>105</v>
      </c>
      <c r="G173" s="222">
        <v>212</v>
      </c>
      <c r="H173" s="222">
        <f>G173*1.2</f>
        <v>254.39999999999998</v>
      </c>
      <c r="I173" s="496" t="s">
        <v>647</v>
      </c>
    </row>
    <row r="174" spans="2:9" s="250" customFormat="1" ht="47.25">
      <c r="B174" s="208">
        <v>25</v>
      </c>
      <c r="C174" s="503" t="s">
        <v>245</v>
      </c>
      <c r="D174" s="174" t="s">
        <v>405</v>
      </c>
      <c r="E174" s="174" t="s">
        <v>118</v>
      </c>
      <c r="F174" s="174"/>
      <c r="G174" s="238">
        <v>2181.91</v>
      </c>
      <c r="H174" s="222">
        <f>G174*1.2</f>
        <v>2618.292</v>
      </c>
      <c r="I174" s="497"/>
    </row>
    <row r="175" spans="2:9" s="250" customFormat="1" ht="15.75">
      <c r="B175" s="338"/>
      <c r="C175" s="529" t="s">
        <v>157</v>
      </c>
      <c r="D175" s="169" t="s">
        <v>158</v>
      </c>
      <c r="E175" s="170"/>
      <c r="F175" s="170"/>
      <c r="G175" s="170"/>
      <c r="H175" s="170"/>
      <c r="I175" s="171"/>
    </row>
    <row r="176" spans="2:9" s="250" customFormat="1" ht="15.75">
      <c r="B176" s="508">
        <v>26</v>
      </c>
      <c r="C176" s="515" t="s">
        <v>159</v>
      </c>
      <c r="D176" s="175" t="s">
        <v>648</v>
      </c>
      <c r="E176" s="175" t="s">
        <v>649</v>
      </c>
      <c r="F176" s="174" t="s">
        <v>71</v>
      </c>
      <c r="G176" s="238">
        <v>1304</v>
      </c>
      <c r="H176" s="222">
        <f>G176*1.2</f>
        <v>1564.8</v>
      </c>
      <c r="I176" s="703" t="s">
        <v>335</v>
      </c>
    </row>
    <row r="177" spans="2:9" s="250" customFormat="1" ht="15.75">
      <c r="B177" s="508"/>
      <c r="C177" s="517"/>
      <c r="D177" s="175"/>
      <c r="E177" s="175"/>
      <c r="F177" s="174" t="s">
        <v>221</v>
      </c>
      <c r="G177" s="238">
        <v>1350</v>
      </c>
      <c r="H177" s="222">
        <f>G177*1.2</f>
        <v>1620</v>
      </c>
      <c r="I177" s="703"/>
    </row>
    <row r="178" spans="2:9" s="250" customFormat="1" ht="15.75">
      <c r="B178" s="508">
        <v>27</v>
      </c>
      <c r="C178" s="515" t="s">
        <v>163</v>
      </c>
      <c r="D178" s="175" t="s">
        <v>164</v>
      </c>
      <c r="E178" s="175" t="s">
        <v>649</v>
      </c>
      <c r="F178" s="174" t="s">
        <v>71</v>
      </c>
      <c r="G178" s="238">
        <v>98</v>
      </c>
      <c r="H178" s="222">
        <f>G178*1.2</f>
        <v>117.6</v>
      </c>
      <c r="I178" s="703" t="s">
        <v>650</v>
      </c>
    </row>
    <row r="179" spans="2:9" s="250" customFormat="1" ht="15.75">
      <c r="B179" s="508"/>
      <c r="C179" s="517"/>
      <c r="D179" s="175"/>
      <c r="E179" s="175"/>
      <c r="F179" s="174" t="s">
        <v>24</v>
      </c>
      <c r="G179" s="238">
        <v>140</v>
      </c>
      <c r="H179" s="222">
        <f>G179*1.2</f>
        <v>168</v>
      </c>
      <c r="I179" s="703"/>
    </row>
    <row r="180" spans="2:9" s="250" customFormat="1" ht="16.5" thickBot="1">
      <c r="B180" s="530">
        <v>28</v>
      </c>
      <c r="C180" s="531" t="s">
        <v>651</v>
      </c>
      <c r="D180" s="243" t="s">
        <v>652</v>
      </c>
      <c r="E180" s="243" t="s">
        <v>20</v>
      </c>
      <c r="F180" s="243" t="s">
        <v>627</v>
      </c>
      <c r="G180" s="532">
        <v>973</v>
      </c>
      <c r="H180" s="533">
        <f>G180*1.2</f>
        <v>1167.6</v>
      </c>
      <c r="I180" s="498"/>
    </row>
    <row r="181" spans="3:9" s="250" customFormat="1" ht="15.75">
      <c r="C181" s="705"/>
      <c r="D181" s="245"/>
      <c r="E181" s="631"/>
      <c r="F181" s="631"/>
      <c r="G181" s="697"/>
      <c r="H181" s="697"/>
      <c r="I181" s="697"/>
    </row>
    <row r="182" spans="3:9" s="250" customFormat="1" ht="15.75">
      <c r="C182" s="676"/>
      <c r="E182" s="708"/>
      <c r="F182" s="708"/>
      <c r="H182" s="159"/>
      <c r="I182" s="159"/>
    </row>
    <row r="183" spans="2:3" s="250" customFormat="1" ht="15.75">
      <c r="B183" s="558" t="s">
        <v>248</v>
      </c>
      <c r="C183" s="676"/>
    </row>
    <row r="184" spans="2:6" s="250" customFormat="1" ht="15.75">
      <c r="B184" s="558"/>
      <c r="C184" s="676"/>
      <c r="F184" s="632"/>
    </row>
    <row r="185" spans="2:6" s="250" customFormat="1" ht="15.75">
      <c r="B185" s="558" t="s">
        <v>167</v>
      </c>
      <c r="C185" s="676"/>
      <c r="F185" s="561" t="s">
        <v>168</v>
      </c>
    </row>
    <row r="186" spans="2:6" s="250" customFormat="1" ht="15.75">
      <c r="B186" s="558"/>
      <c r="C186" s="676"/>
      <c r="F186" s="561"/>
    </row>
    <row r="187" spans="2:6" s="250" customFormat="1" ht="15.75">
      <c r="B187" s="558" t="s">
        <v>169</v>
      </c>
      <c r="C187" s="676"/>
      <c r="F187" s="561" t="s">
        <v>170</v>
      </c>
    </row>
    <row r="188" spans="2:6" s="250" customFormat="1" ht="15.75">
      <c r="B188" s="558"/>
      <c r="C188" s="676"/>
      <c r="F188" s="561"/>
    </row>
    <row r="189" spans="2:6" s="250" customFormat="1" ht="15.75">
      <c r="B189" s="558" t="s">
        <v>171</v>
      </c>
      <c r="C189" s="676"/>
      <c r="F189" s="561" t="s">
        <v>172</v>
      </c>
    </row>
    <row r="190" spans="2:6" s="250" customFormat="1" ht="15.75">
      <c r="B190" s="558"/>
      <c r="C190" s="676"/>
      <c r="F190" s="561"/>
    </row>
    <row r="191" spans="2:6" s="250" customFormat="1" ht="15.75">
      <c r="B191" s="558" t="s">
        <v>173</v>
      </c>
      <c r="C191" s="676"/>
      <c r="F191" s="561" t="s">
        <v>653</v>
      </c>
    </row>
    <row r="192" spans="2:6" s="250" customFormat="1" ht="15.75">
      <c r="B192" s="558"/>
      <c r="C192" s="676"/>
      <c r="F192" s="561"/>
    </row>
    <row r="193" spans="2:6" s="250" customFormat="1" ht="15.75">
      <c r="B193" s="558" t="s">
        <v>654</v>
      </c>
      <c r="C193" s="676"/>
      <c r="E193" s="676"/>
      <c r="F193" s="561" t="s">
        <v>655</v>
      </c>
    </row>
    <row r="194" spans="2:9" ht="18.75">
      <c r="B194" s="358"/>
      <c r="E194" s="358"/>
      <c r="F194" s="358"/>
      <c r="G194" s="358"/>
      <c r="H194" s="358"/>
      <c r="I194" s="358"/>
    </row>
    <row r="195" spans="4:9" ht="18.75">
      <c r="D195" s="358"/>
      <c r="E195" s="534"/>
      <c r="F195" s="534"/>
      <c r="G195" s="358"/>
      <c r="H195" s="535"/>
      <c r="I195" s="535"/>
    </row>
    <row r="196" spans="4:9" ht="18.75">
      <c r="D196" s="358"/>
      <c r="E196" s="534"/>
      <c r="F196" s="534"/>
      <c r="G196" s="358"/>
      <c r="H196" s="535"/>
      <c r="I196" s="535"/>
    </row>
    <row r="197" spans="4:9" ht="18.75">
      <c r="D197" s="358"/>
      <c r="E197" s="534"/>
      <c r="F197" s="534"/>
      <c r="G197" s="358"/>
      <c r="H197" s="535"/>
      <c r="I197" s="535"/>
    </row>
    <row r="198" spans="4:9" ht="18.75">
      <c r="D198" s="358"/>
      <c r="E198" s="534"/>
      <c r="F198" s="534"/>
      <c r="G198" s="358"/>
      <c r="H198" s="535"/>
      <c r="I198" s="535"/>
    </row>
  </sheetData>
  <sheetProtection/>
  <mergeCells count="208">
    <mergeCell ref="B176:B177"/>
    <mergeCell ref="C176:C177"/>
    <mergeCell ref="D176:D177"/>
    <mergeCell ref="E176:E177"/>
    <mergeCell ref="I176:I177"/>
    <mergeCell ref="B178:B179"/>
    <mergeCell ref="C178:C179"/>
    <mergeCell ref="D178:D179"/>
    <mergeCell ref="E178:E179"/>
    <mergeCell ref="I178:I179"/>
    <mergeCell ref="F170:F171"/>
    <mergeCell ref="G170:H170"/>
    <mergeCell ref="B171:B172"/>
    <mergeCell ref="C171:C172"/>
    <mergeCell ref="D171:D172"/>
    <mergeCell ref="D175:I175"/>
    <mergeCell ref="D167:I167"/>
    <mergeCell ref="B168:B169"/>
    <mergeCell ref="C168:C169"/>
    <mergeCell ref="D168:D169"/>
    <mergeCell ref="E168:E169"/>
    <mergeCell ref="F168:F169"/>
    <mergeCell ref="G168:H169"/>
    <mergeCell ref="I168:I169"/>
    <mergeCell ref="B161:B166"/>
    <mergeCell ref="D161:I161"/>
    <mergeCell ref="C162:C166"/>
    <mergeCell ref="D162:D166"/>
    <mergeCell ref="E162:E163"/>
    <mergeCell ref="I162:I163"/>
    <mergeCell ref="E164:E165"/>
    <mergeCell ref="I164:I165"/>
    <mergeCell ref="B152:B160"/>
    <mergeCell ref="D152:I152"/>
    <mergeCell ref="C153:C160"/>
    <mergeCell ref="D153:D160"/>
    <mergeCell ref="E153:E156"/>
    <mergeCell ref="I153:I156"/>
    <mergeCell ref="E157:E158"/>
    <mergeCell ref="I157:I158"/>
    <mergeCell ref="G159:H159"/>
    <mergeCell ref="B143:B145"/>
    <mergeCell ref="D143:I143"/>
    <mergeCell ref="C144:C145"/>
    <mergeCell ref="D144:D145"/>
    <mergeCell ref="B146:B148"/>
    <mergeCell ref="C146:C148"/>
    <mergeCell ref="D146:D148"/>
    <mergeCell ref="E137:E138"/>
    <mergeCell ref="I137:I138"/>
    <mergeCell ref="D139:D140"/>
    <mergeCell ref="B141:B142"/>
    <mergeCell ref="C141:C142"/>
    <mergeCell ref="D141:D142"/>
    <mergeCell ref="E141:E142"/>
    <mergeCell ref="F141:F142"/>
    <mergeCell ref="I126:I128"/>
    <mergeCell ref="E129:E132"/>
    <mergeCell ref="I129:I132"/>
    <mergeCell ref="B134:B140"/>
    <mergeCell ref="D134:I134"/>
    <mergeCell ref="C135:C140"/>
    <mergeCell ref="D135:D136"/>
    <mergeCell ref="E135:E136"/>
    <mergeCell ref="I135:I136"/>
    <mergeCell ref="D137:D138"/>
    <mergeCell ref="E117:E118"/>
    <mergeCell ref="F117:F118"/>
    <mergeCell ref="B119:B133"/>
    <mergeCell ref="D119:I119"/>
    <mergeCell ref="C120:C133"/>
    <mergeCell ref="D120:D133"/>
    <mergeCell ref="E120:E125"/>
    <mergeCell ref="I120:I122"/>
    <mergeCell ref="I123:I125"/>
    <mergeCell ref="E126:E128"/>
    <mergeCell ref="E106:E107"/>
    <mergeCell ref="D110:I110"/>
    <mergeCell ref="B111:B118"/>
    <mergeCell ref="D111:I111"/>
    <mergeCell ref="C112:C118"/>
    <mergeCell ref="D112:D113"/>
    <mergeCell ref="E112:E114"/>
    <mergeCell ref="I112:I118"/>
    <mergeCell ref="D115:D116"/>
    <mergeCell ref="E115:E116"/>
    <mergeCell ref="G99:H99"/>
    <mergeCell ref="B100:B109"/>
    <mergeCell ref="C100:C109"/>
    <mergeCell ref="D100:D109"/>
    <mergeCell ref="E100:E101"/>
    <mergeCell ref="I100:I101"/>
    <mergeCell ref="E102:E103"/>
    <mergeCell ref="I102:I103"/>
    <mergeCell ref="E104:E105"/>
    <mergeCell ref="I104:I105"/>
    <mergeCell ref="B94:I94"/>
    <mergeCell ref="D95:I95"/>
    <mergeCell ref="D96:I96"/>
    <mergeCell ref="G97:H97"/>
    <mergeCell ref="B98:B99"/>
    <mergeCell ref="C98:C99"/>
    <mergeCell ref="D98:D99"/>
    <mergeCell ref="E98:E99"/>
    <mergeCell ref="G98:H98"/>
    <mergeCell ref="I98:I99"/>
    <mergeCell ref="G82:H82"/>
    <mergeCell ref="G83:H83"/>
    <mergeCell ref="G84:H84"/>
    <mergeCell ref="B85:B93"/>
    <mergeCell ref="C85:C93"/>
    <mergeCell ref="D85:I85"/>
    <mergeCell ref="D86:D88"/>
    <mergeCell ref="E86:E93"/>
    <mergeCell ref="D89:D91"/>
    <mergeCell ref="D92:D93"/>
    <mergeCell ref="D78:D79"/>
    <mergeCell ref="E78:E79"/>
    <mergeCell ref="D80:D81"/>
    <mergeCell ref="E80:E81"/>
    <mergeCell ref="B82:B84"/>
    <mergeCell ref="C82:C84"/>
    <mergeCell ref="D82:D84"/>
    <mergeCell ref="D72:D73"/>
    <mergeCell ref="E72:E73"/>
    <mergeCell ref="D74:D75"/>
    <mergeCell ref="E74:E75"/>
    <mergeCell ref="D76:D77"/>
    <mergeCell ref="E76:E77"/>
    <mergeCell ref="D66:D67"/>
    <mergeCell ref="E66:E67"/>
    <mergeCell ref="D68:D69"/>
    <mergeCell ref="E68:E69"/>
    <mergeCell ref="D70:D71"/>
    <mergeCell ref="E70:E71"/>
    <mergeCell ref="D60:D61"/>
    <mergeCell ref="E60:E61"/>
    <mergeCell ref="D62:D63"/>
    <mergeCell ref="E62:E63"/>
    <mergeCell ref="D64:D65"/>
    <mergeCell ref="E64:E65"/>
    <mergeCell ref="D54:D55"/>
    <mergeCell ref="E54:E55"/>
    <mergeCell ref="D56:D57"/>
    <mergeCell ref="E56:E57"/>
    <mergeCell ref="D58:D59"/>
    <mergeCell ref="E58:E59"/>
    <mergeCell ref="D48:D49"/>
    <mergeCell ref="E48:E49"/>
    <mergeCell ref="D50:D51"/>
    <mergeCell ref="E50:E51"/>
    <mergeCell ref="D52:D53"/>
    <mergeCell ref="E52:E53"/>
    <mergeCell ref="D42:D43"/>
    <mergeCell ref="E42:E43"/>
    <mergeCell ref="D44:D45"/>
    <mergeCell ref="E44:E45"/>
    <mergeCell ref="D46:D47"/>
    <mergeCell ref="E46:E47"/>
    <mergeCell ref="E32:E33"/>
    <mergeCell ref="D34:D35"/>
    <mergeCell ref="E34:E35"/>
    <mergeCell ref="I34:I81"/>
    <mergeCell ref="D36:D37"/>
    <mergeCell ref="E36:E37"/>
    <mergeCell ref="D38:D39"/>
    <mergeCell ref="E38:E39"/>
    <mergeCell ref="D40:D41"/>
    <mergeCell ref="E40:E41"/>
    <mergeCell ref="G26:H26"/>
    <mergeCell ref="B27:B81"/>
    <mergeCell ref="D27:I27"/>
    <mergeCell ref="C28:C81"/>
    <mergeCell ref="D28:D29"/>
    <mergeCell ref="E28:E29"/>
    <mergeCell ref="I28:I33"/>
    <mergeCell ref="D30:D31"/>
    <mergeCell ref="E30:E31"/>
    <mergeCell ref="D32:D33"/>
    <mergeCell ref="I21:I23"/>
    <mergeCell ref="G22:H22"/>
    <mergeCell ref="G23:H23"/>
    <mergeCell ref="B24:B26"/>
    <mergeCell ref="C24:C26"/>
    <mergeCell ref="D24:D26"/>
    <mergeCell ref="E24:E25"/>
    <mergeCell ref="G24:H24"/>
    <mergeCell ref="I24:I26"/>
    <mergeCell ref="G25:H25"/>
    <mergeCell ref="G20:H20"/>
    <mergeCell ref="B21:B23"/>
    <mergeCell ref="C21:C23"/>
    <mergeCell ref="D21:D23"/>
    <mergeCell ref="E21:E22"/>
    <mergeCell ref="G21:H21"/>
    <mergeCell ref="B16:I16"/>
    <mergeCell ref="D17:I17"/>
    <mergeCell ref="B18:B20"/>
    <mergeCell ref="C18:C20"/>
    <mergeCell ref="D18:D20"/>
    <mergeCell ref="E18:E19"/>
    <mergeCell ref="G18:H18"/>
    <mergeCell ref="I18:I20"/>
    <mergeCell ref="G19:H19"/>
    <mergeCell ref="B10:I10"/>
    <mergeCell ref="B11:I11"/>
    <mergeCell ref="B12:I12"/>
    <mergeCell ref="B13:I1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2:V98"/>
  <sheetViews>
    <sheetView zoomScale="70" zoomScaleNormal="70" zoomScalePageLayoutView="0" workbookViewId="0" topLeftCell="A1">
      <selection activeCell="N79" sqref="N79"/>
    </sheetView>
  </sheetViews>
  <sheetFormatPr defaultColWidth="9.140625" defaultRowHeight="15"/>
  <cols>
    <col min="1" max="1" width="6.8515625" style="250" customWidth="1"/>
    <col min="2" max="2" width="17.28125" style="479" customWidth="1"/>
    <col min="3" max="3" width="44.8515625" style="250" customWidth="1"/>
    <col min="4" max="7" width="20.140625" style="250" customWidth="1"/>
    <col min="8" max="8" width="90.7109375" style="150" customWidth="1"/>
    <col min="9" max="244" width="9.140625" style="318" customWidth="1"/>
    <col min="245" max="245" width="5.8515625" style="318" customWidth="1"/>
    <col min="246" max="246" width="14.8515625" style="318" customWidth="1"/>
    <col min="247" max="247" width="46.140625" style="318" customWidth="1"/>
    <col min="248" max="248" width="13.7109375" style="318" customWidth="1"/>
    <col min="249" max="249" width="21.28125" style="318" customWidth="1"/>
    <col min="250" max="250" width="13.7109375" style="318" customWidth="1"/>
    <col min="251" max="251" width="14.8515625" style="318" customWidth="1"/>
    <col min="252" max="252" width="39.28125" style="318" customWidth="1"/>
    <col min="253" max="16384" width="9.140625" style="318" customWidth="1"/>
  </cols>
  <sheetData>
    <row r="2" spans="1:22" s="15" customFormat="1" ht="22.5">
      <c r="A2" s="11"/>
      <c r="B2" s="12"/>
      <c r="C2" s="12"/>
      <c r="D2" s="13"/>
      <c r="E2" s="14"/>
      <c r="F2" s="16"/>
      <c r="H2" s="635" t="s">
        <v>0</v>
      </c>
      <c r="I2" s="11"/>
      <c r="J2" s="12"/>
      <c r="K2" s="12"/>
      <c r="L2" s="13"/>
      <c r="M2" s="14"/>
      <c r="N2" s="16"/>
      <c r="O2" s="536"/>
      <c r="P2" s="536"/>
      <c r="Q2" s="11"/>
      <c r="R2" s="12"/>
      <c r="S2" s="12"/>
      <c r="T2" s="13"/>
      <c r="U2" s="14"/>
      <c r="V2" s="16"/>
    </row>
    <row r="3" spans="1:22" ht="20.25">
      <c r="A3" s="11"/>
      <c r="B3" s="12"/>
      <c r="C3" s="12"/>
      <c r="D3" s="13"/>
      <c r="E3" s="14"/>
      <c r="F3" s="16"/>
      <c r="G3" s="318"/>
      <c r="H3" s="254" t="s">
        <v>1</v>
      </c>
      <c r="I3" s="11"/>
      <c r="J3" s="12"/>
      <c r="K3" s="12"/>
      <c r="L3" s="13"/>
      <c r="M3" s="14"/>
      <c r="N3" s="16"/>
      <c r="O3" s="537"/>
      <c r="P3" s="537"/>
      <c r="Q3" s="11"/>
      <c r="R3" s="12"/>
      <c r="S3" s="12"/>
      <c r="T3" s="13"/>
      <c r="U3" s="14"/>
      <c r="V3" s="16"/>
    </row>
    <row r="4" spans="1:22" ht="20.25">
      <c r="A4" s="11"/>
      <c r="B4" s="12"/>
      <c r="C4" s="12"/>
      <c r="D4" s="13"/>
      <c r="E4" s="14"/>
      <c r="F4" s="16"/>
      <c r="G4" s="318"/>
      <c r="H4" s="255" t="s">
        <v>2</v>
      </c>
      <c r="I4" s="11"/>
      <c r="J4" s="12"/>
      <c r="K4" s="12"/>
      <c r="L4" s="13"/>
      <c r="M4" s="14"/>
      <c r="N4" s="16"/>
      <c r="O4" s="538"/>
      <c r="P4" s="538"/>
      <c r="Q4" s="11"/>
      <c r="R4" s="12"/>
      <c r="S4" s="12"/>
      <c r="T4" s="13"/>
      <c r="U4" s="14"/>
      <c r="V4" s="16"/>
    </row>
    <row r="5" spans="1:22" ht="20.25">
      <c r="A5" s="11"/>
      <c r="B5" s="12"/>
      <c r="C5" s="12"/>
      <c r="D5" s="13"/>
      <c r="E5" s="14"/>
      <c r="F5" s="16"/>
      <c r="G5" s="318"/>
      <c r="H5" s="114"/>
      <c r="I5" s="11"/>
      <c r="J5" s="12"/>
      <c r="K5" s="12"/>
      <c r="L5" s="13"/>
      <c r="M5" s="14"/>
      <c r="N5" s="16"/>
      <c r="O5" s="539"/>
      <c r="P5" s="539"/>
      <c r="Q5" s="11"/>
      <c r="R5" s="12"/>
      <c r="S5" s="12"/>
      <c r="T5" s="13"/>
      <c r="U5" s="14"/>
      <c r="V5" s="16"/>
    </row>
    <row r="6" spans="1:22" ht="20.25">
      <c r="A6" s="11"/>
      <c r="B6" s="12"/>
      <c r="C6" s="12"/>
      <c r="D6" s="13"/>
      <c r="E6" s="14"/>
      <c r="F6" s="16"/>
      <c r="G6" s="318"/>
      <c r="H6" s="112" t="s">
        <v>785</v>
      </c>
      <c r="I6" s="11"/>
      <c r="J6" s="12"/>
      <c r="K6" s="12"/>
      <c r="L6" s="13"/>
      <c r="M6" s="14"/>
      <c r="N6" s="16"/>
      <c r="O6" s="267"/>
      <c r="P6" s="267"/>
      <c r="Q6" s="11"/>
      <c r="R6" s="12"/>
      <c r="S6" s="12"/>
      <c r="T6" s="13"/>
      <c r="U6" s="14"/>
      <c r="V6" s="16"/>
    </row>
    <row r="7" spans="1:22" ht="20.25">
      <c r="A7" s="11"/>
      <c r="B7" s="12"/>
      <c r="C7" s="12"/>
      <c r="D7" s="13"/>
      <c r="E7" s="14"/>
      <c r="F7" s="16"/>
      <c r="G7" s="4"/>
      <c r="H7" s="4"/>
      <c r="I7" s="11"/>
      <c r="J7" s="12"/>
      <c r="K7" s="12"/>
      <c r="L7" s="13"/>
      <c r="M7" s="14"/>
      <c r="N7" s="16"/>
      <c r="O7" s="268"/>
      <c r="P7" s="268"/>
      <c r="Q7" s="11"/>
      <c r="R7" s="12"/>
      <c r="S7" s="12"/>
      <c r="T7" s="13"/>
      <c r="U7" s="14"/>
      <c r="V7" s="16"/>
    </row>
    <row r="8" spans="1:22" ht="20.25">
      <c r="A8" s="11"/>
      <c r="B8" s="12"/>
      <c r="C8" s="12"/>
      <c r="D8" s="13"/>
      <c r="E8" s="14"/>
      <c r="F8" s="16"/>
      <c r="G8" s="4"/>
      <c r="H8" s="4"/>
      <c r="I8" s="11"/>
      <c r="J8" s="12"/>
      <c r="K8" s="12"/>
      <c r="L8" s="13"/>
      <c r="M8" s="14"/>
      <c r="N8" s="16"/>
      <c r="O8" s="268"/>
      <c r="P8" s="268"/>
      <c r="Q8" s="11"/>
      <c r="R8" s="12"/>
      <c r="S8" s="12"/>
      <c r="T8" s="13"/>
      <c r="U8" s="14"/>
      <c r="V8" s="16"/>
    </row>
    <row r="9" spans="1:22" ht="20.25">
      <c r="A9" s="682" t="s">
        <v>4</v>
      </c>
      <c r="B9" s="682"/>
      <c r="C9" s="682"/>
      <c r="D9" s="682"/>
      <c r="E9" s="682"/>
      <c r="F9" s="682"/>
      <c r="G9" s="682"/>
      <c r="H9" s="682"/>
      <c r="I9" s="11"/>
      <c r="J9" s="12"/>
      <c r="K9" s="12"/>
      <c r="L9" s="13"/>
      <c r="M9" s="14"/>
      <c r="N9" s="16"/>
      <c r="O9" s="268"/>
      <c r="P9" s="268"/>
      <c r="Q9" s="11"/>
      <c r="R9" s="12"/>
      <c r="S9" s="12"/>
      <c r="T9" s="13"/>
      <c r="U9" s="14"/>
      <c r="V9" s="16"/>
    </row>
    <row r="10" spans="1:22" ht="20.25">
      <c r="A10" s="682" t="s">
        <v>750</v>
      </c>
      <c r="B10" s="682"/>
      <c r="C10" s="682"/>
      <c r="D10" s="682"/>
      <c r="E10" s="682"/>
      <c r="F10" s="682"/>
      <c r="G10" s="682"/>
      <c r="H10" s="682"/>
      <c r="I10" s="11"/>
      <c r="J10" s="12"/>
      <c r="K10" s="12"/>
      <c r="L10" s="13"/>
      <c r="M10" s="14"/>
      <c r="N10" s="16"/>
      <c r="O10" s="268"/>
      <c r="P10" s="268"/>
      <c r="Q10" s="11"/>
      <c r="R10" s="12"/>
      <c r="S10" s="12"/>
      <c r="T10" s="13"/>
      <c r="U10" s="14"/>
      <c r="V10" s="16"/>
    </row>
    <row r="11" spans="1:22" ht="20.25">
      <c r="A11" s="682" t="s">
        <v>751</v>
      </c>
      <c r="B11" s="682"/>
      <c r="C11" s="682"/>
      <c r="D11" s="682"/>
      <c r="E11" s="682"/>
      <c r="F11" s="682"/>
      <c r="G11" s="682"/>
      <c r="H11" s="682"/>
      <c r="I11" s="11"/>
      <c r="J11" s="12"/>
      <c r="K11" s="12"/>
      <c r="L11" s="13"/>
      <c r="M11" s="14"/>
      <c r="N11" s="16"/>
      <c r="O11" s="268"/>
      <c r="P11" s="268"/>
      <c r="Q11" s="11"/>
      <c r="R11" s="12"/>
      <c r="S11" s="12"/>
      <c r="T11" s="13"/>
      <c r="U11" s="14"/>
      <c r="V11" s="16"/>
    </row>
    <row r="12" spans="1:22" ht="20.25">
      <c r="A12" s="682" t="s">
        <v>5</v>
      </c>
      <c r="B12" s="682"/>
      <c r="C12" s="682"/>
      <c r="D12" s="682"/>
      <c r="E12" s="682"/>
      <c r="F12" s="682"/>
      <c r="G12" s="682"/>
      <c r="H12" s="682"/>
      <c r="I12" s="11"/>
      <c r="J12" s="12"/>
      <c r="K12" s="12"/>
      <c r="L12" s="13"/>
      <c r="M12" s="14"/>
      <c r="N12" s="16"/>
      <c r="O12" s="268"/>
      <c r="P12" s="268"/>
      <c r="Q12" s="11"/>
      <c r="R12" s="12"/>
      <c r="S12" s="12"/>
      <c r="T12" s="13"/>
      <c r="U12" s="14"/>
      <c r="V12" s="16"/>
    </row>
    <row r="13" spans="1:22" ht="19.5" thickBot="1">
      <c r="A13" s="540"/>
      <c r="B13" s="540"/>
      <c r="C13" s="540"/>
      <c r="D13" s="540"/>
      <c r="E13" s="540"/>
      <c r="F13" s="540"/>
      <c r="G13" s="540"/>
      <c r="H13" s="540"/>
      <c r="I13" s="11"/>
      <c r="J13" s="12"/>
      <c r="K13" s="12"/>
      <c r="L13" s="13"/>
      <c r="M13" s="14"/>
      <c r="N13" s="16"/>
      <c r="O13" s="268"/>
      <c r="P13" s="268"/>
      <c r="Q13" s="11"/>
      <c r="R13" s="12"/>
      <c r="S13" s="12"/>
      <c r="T13" s="13"/>
      <c r="U13" s="14"/>
      <c r="V13" s="16"/>
    </row>
    <row r="14" spans="1:22" ht="31.5">
      <c r="A14" s="649" t="s">
        <v>6</v>
      </c>
      <c r="B14" s="22" t="s">
        <v>7</v>
      </c>
      <c r="C14" s="650" t="s">
        <v>8</v>
      </c>
      <c r="D14" s="650" t="s">
        <v>9</v>
      </c>
      <c r="E14" s="650" t="s">
        <v>10</v>
      </c>
      <c r="F14" s="651" t="s">
        <v>11</v>
      </c>
      <c r="G14" s="652" t="s">
        <v>12</v>
      </c>
      <c r="H14" s="653" t="s">
        <v>13</v>
      </c>
      <c r="I14" s="710"/>
      <c r="J14" s="711"/>
      <c r="K14" s="711"/>
      <c r="L14" s="712"/>
      <c r="M14" s="712"/>
      <c r="N14" s="712"/>
      <c r="O14" s="268"/>
      <c r="P14" s="268"/>
      <c r="Q14" s="710"/>
      <c r="R14" s="711"/>
      <c r="S14" s="711"/>
      <c r="T14" s="712"/>
      <c r="U14" s="712"/>
      <c r="V14" s="712"/>
    </row>
    <row r="15" spans="1:8" s="313" customFormat="1" ht="15.75">
      <c r="A15" s="305" t="s">
        <v>15</v>
      </c>
      <c r="B15" s="306"/>
      <c r="C15" s="27" t="s">
        <v>177</v>
      </c>
      <c r="D15" s="27"/>
      <c r="E15" s="27"/>
      <c r="F15" s="27"/>
      <c r="G15" s="27"/>
      <c r="H15" s="28"/>
    </row>
    <row r="16" spans="1:8" s="313" customFormat="1" ht="15.75">
      <c r="A16" s="320">
        <v>1</v>
      </c>
      <c r="B16" s="30" t="s">
        <v>18</v>
      </c>
      <c r="C16" s="31" t="s">
        <v>656</v>
      </c>
      <c r="D16" s="193" t="s">
        <v>20</v>
      </c>
      <c r="E16" s="194" t="s">
        <v>21</v>
      </c>
      <c r="F16" s="411" t="s">
        <v>543</v>
      </c>
      <c r="G16" s="412"/>
      <c r="H16" s="429" t="s">
        <v>573</v>
      </c>
    </row>
    <row r="17" spans="1:8" s="313" customFormat="1" ht="15.75">
      <c r="A17" s="322"/>
      <c r="B17" s="41"/>
      <c r="C17" s="42"/>
      <c r="D17" s="43" t="s">
        <v>25</v>
      </c>
      <c r="E17" s="194"/>
      <c r="F17" s="411" t="s">
        <v>544</v>
      </c>
      <c r="G17" s="412"/>
      <c r="H17" s="434"/>
    </row>
    <row r="18" spans="1:8" s="313" customFormat="1" ht="15.75">
      <c r="A18" s="541">
        <v>2</v>
      </c>
      <c r="B18" s="30" t="s">
        <v>27</v>
      </c>
      <c r="C18" s="31" t="s">
        <v>28</v>
      </c>
      <c r="D18" s="31" t="s">
        <v>20</v>
      </c>
      <c r="E18" s="194" t="s">
        <v>21</v>
      </c>
      <c r="F18" s="411" t="s">
        <v>543</v>
      </c>
      <c r="G18" s="412"/>
      <c r="H18" s="429" t="s">
        <v>179</v>
      </c>
    </row>
    <row r="19" spans="1:8" s="313" customFormat="1" ht="15.75">
      <c r="A19" s="177"/>
      <c r="B19" s="36"/>
      <c r="C19" s="37"/>
      <c r="D19" s="42"/>
      <c r="E19" s="194" t="s">
        <v>24</v>
      </c>
      <c r="F19" s="411" t="s">
        <v>543</v>
      </c>
      <c r="G19" s="412"/>
      <c r="H19" s="521"/>
    </row>
    <row r="20" spans="1:8" s="313" customFormat="1" ht="15.75">
      <c r="A20" s="180"/>
      <c r="B20" s="41"/>
      <c r="C20" s="42"/>
      <c r="D20" s="599" t="s">
        <v>25</v>
      </c>
      <c r="E20" s="194"/>
      <c r="F20" s="411" t="s">
        <v>543</v>
      </c>
      <c r="G20" s="412"/>
      <c r="H20" s="554"/>
    </row>
    <row r="21" spans="1:8" s="313" customFormat="1" ht="15.75">
      <c r="A21" s="196">
        <v>3</v>
      </c>
      <c r="B21" s="30" t="s">
        <v>31</v>
      </c>
      <c r="C21" s="31" t="s">
        <v>521</v>
      </c>
      <c r="D21" s="31" t="s">
        <v>20</v>
      </c>
      <c r="E21" s="194" t="s">
        <v>21</v>
      </c>
      <c r="F21" s="411" t="s">
        <v>543</v>
      </c>
      <c r="G21" s="412"/>
      <c r="H21" s="429" t="s">
        <v>179</v>
      </c>
    </row>
    <row r="22" spans="1:8" s="313" customFormat="1" ht="15.75">
      <c r="A22" s="199"/>
      <c r="B22" s="36"/>
      <c r="C22" s="37"/>
      <c r="D22" s="42"/>
      <c r="E22" s="194" t="s">
        <v>24</v>
      </c>
      <c r="F22" s="411" t="s">
        <v>543</v>
      </c>
      <c r="G22" s="412"/>
      <c r="H22" s="548"/>
    </row>
    <row r="23" spans="1:8" s="313" customFormat="1" ht="15.75">
      <c r="A23" s="200"/>
      <c r="B23" s="41"/>
      <c r="C23" s="42"/>
      <c r="D23" s="599" t="s">
        <v>25</v>
      </c>
      <c r="E23" s="194"/>
      <c r="F23" s="411" t="s">
        <v>544</v>
      </c>
      <c r="G23" s="412"/>
      <c r="H23" s="434"/>
    </row>
    <row r="24" spans="1:8" s="313" customFormat="1" ht="15.75">
      <c r="A24" s="196">
        <v>4</v>
      </c>
      <c r="B24" s="30" t="s">
        <v>433</v>
      </c>
      <c r="C24" s="713" t="s">
        <v>35</v>
      </c>
      <c r="D24" s="714"/>
      <c r="E24" s="714"/>
      <c r="F24" s="714"/>
      <c r="G24" s="714"/>
      <c r="H24" s="715"/>
    </row>
    <row r="25" spans="1:8" s="313" customFormat="1" ht="15.75">
      <c r="A25" s="199"/>
      <c r="B25" s="178"/>
      <c r="C25" s="186" t="s">
        <v>657</v>
      </c>
      <c r="D25" s="401" t="s">
        <v>20</v>
      </c>
      <c r="E25" s="194" t="s">
        <v>71</v>
      </c>
      <c r="F25" s="194">
        <v>3450</v>
      </c>
      <c r="G25" s="195">
        <f>F25*1.2</f>
        <v>4140</v>
      </c>
      <c r="H25" s="429" t="s">
        <v>786</v>
      </c>
    </row>
    <row r="26" spans="1:8" s="313" customFormat="1" ht="15.75">
      <c r="A26" s="199"/>
      <c r="B26" s="178"/>
      <c r="C26" s="186" t="s">
        <v>658</v>
      </c>
      <c r="D26" s="401" t="s">
        <v>20</v>
      </c>
      <c r="E26" s="194" t="s">
        <v>21</v>
      </c>
      <c r="F26" s="194">
        <v>6011</v>
      </c>
      <c r="G26" s="195">
        <f>F26*1.2</f>
        <v>7213.2</v>
      </c>
      <c r="H26" s="521"/>
    </row>
    <row r="27" spans="1:8" s="313" customFormat="1" ht="15.75">
      <c r="A27" s="199"/>
      <c r="B27" s="178"/>
      <c r="C27" s="186" t="s">
        <v>659</v>
      </c>
      <c r="D27" s="401" t="s">
        <v>20</v>
      </c>
      <c r="E27" s="194" t="s">
        <v>71</v>
      </c>
      <c r="F27" s="194">
        <v>7261</v>
      </c>
      <c r="G27" s="195">
        <f aca="true" t="shared" si="0" ref="G27:G37">F27*1.2</f>
        <v>8713.199999999999</v>
      </c>
      <c r="H27" s="521"/>
    </row>
    <row r="28" spans="1:8" s="313" customFormat="1" ht="15.75">
      <c r="A28" s="199"/>
      <c r="B28" s="178"/>
      <c r="C28" s="332" t="s">
        <v>660</v>
      </c>
      <c r="D28" s="401" t="s">
        <v>20</v>
      </c>
      <c r="E28" s="194" t="s">
        <v>21</v>
      </c>
      <c r="F28" s="194">
        <v>10990</v>
      </c>
      <c r="G28" s="195">
        <f t="shared" si="0"/>
        <v>13188</v>
      </c>
      <c r="H28" s="521"/>
    </row>
    <row r="29" spans="1:8" s="313" customFormat="1" ht="15.75">
      <c r="A29" s="199"/>
      <c r="B29" s="178"/>
      <c r="C29" s="186" t="s">
        <v>661</v>
      </c>
      <c r="D29" s="401" t="s">
        <v>20</v>
      </c>
      <c r="E29" s="194" t="s">
        <v>21</v>
      </c>
      <c r="F29" s="194">
        <v>11575</v>
      </c>
      <c r="G29" s="195">
        <f t="shared" si="0"/>
        <v>13890</v>
      </c>
      <c r="H29" s="521"/>
    </row>
    <row r="30" spans="1:8" s="313" customFormat="1" ht="15.75">
      <c r="A30" s="199"/>
      <c r="B30" s="178"/>
      <c r="C30" s="186" t="s">
        <v>662</v>
      </c>
      <c r="D30" s="401" t="s">
        <v>20</v>
      </c>
      <c r="E30" s="194" t="s">
        <v>21</v>
      </c>
      <c r="F30" s="194">
        <v>14605</v>
      </c>
      <c r="G30" s="195">
        <f t="shared" si="0"/>
        <v>17526</v>
      </c>
      <c r="H30" s="521"/>
    </row>
    <row r="31" spans="1:8" s="313" customFormat="1" ht="15.75">
      <c r="A31" s="199"/>
      <c r="B31" s="178"/>
      <c r="C31" s="186" t="s">
        <v>663</v>
      </c>
      <c r="D31" s="401" t="s">
        <v>20</v>
      </c>
      <c r="E31" s="194" t="s">
        <v>21</v>
      </c>
      <c r="F31" s="194">
        <v>16979</v>
      </c>
      <c r="G31" s="195">
        <f t="shared" si="0"/>
        <v>20374.8</v>
      </c>
      <c r="H31" s="521"/>
    </row>
    <row r="32" spans="1:8" s="313" customFormat="1" ht="15.75">
      <c r="A32" s="199"/>
      <c r="B32" s="178"/>
      <c r="C32" s="186" t="s">
        <v>664</v>
      </c>
      <c r="D32" s="401" t="s">
        <v>20</v>
      </c>
      <c r="E32" s="194" t="s">
        <v>71</v>
      </c>
      <c r="F32" s="194">
        <v>18162</v>
      </c>
      <c r="G32" s="195">
        <f t="shared" si="0"/>
        <v>21794.399999999998</v>
      </c>
      <c r="H32" s="521"/>
    </row>
    <row r="33" spans="1:8" s="313" customFormat="1" ht="15.75">
      <c r="A33" s="199"/>
      <c r="B33" s="178"/>
      <c r="C33" s="186" t="s">
        <v>665</v>
      </c>
      <c r="D33" s="401" t="s">
        <v>20</v>
      </c>
      <c r="E33" s="194" t="s">
        <v>21</v>
      </c>
      <c r="F33" s="194">
        <v>22288</v>
      </c>
      <c r="G33" s="195">
        <f t="shared" si="0"/>
        <v>26745.6</v>
      </c>
      <c r="H33" s="521"/>
    </row>
    <row r="34" spans="1:8" s="313" customFormat="1" ht="15.75">
      <c r="A34" s="199"/>
      <c r="B34" s="178"/>
      <c r="C34" s="186" t="s">
        <v>666</v>
      </c>
      <c r="D34" s="401" t="s">
        <v>20</v>
      </c>
      <c r="E34" s="194" t="s">
        <v>21</v>
      </c>
      <c r="F34" s="194">
        <v>26457</v>
      </c>
      <c r="G34" s="195">
        <f t="shared" si="0"/>
        <v>31748.399999999998</v>
      </c>
      <c r="H34" s="521"/>
    </row>
    <row r="35" spans="1:8" s="313" customFormat="1" ht="15.75">
      <c r="A35" s="199"/>
      <c r="B35" s="178"/>
      <c r="C35" s="186" t="s">
        <v>667</v>
      </c>
      <c r="D35" s="401" t="s">
        <v>20</v>
      </c>
      <c r="E35" s="194" t="s">
        <v>21</v>
      </c>
      <c r="F35" s="194">
        <v>29696</v>
      </c>
      <c r="G35" s="195">
        <f t="shared" si="0"/>
        <v>35635.2</v>
      </c>
      <c r="H35" s="521"/>
    </row>
    <row r="36" spans="1:8" s="313" customFormat="1" ht="15.75">
      <c r="A36" s="199"/>
      <c r="B36" s="178"/>
      <c r="C36" s="186" t="s">
        <v>668</v>
      </c>
      <c r="D36" s="401" t="s">
        <v>20</v>
      </c>
      <c r="E36" s="194" t="s">
        <v>71</v>
      </c>
      <c r="F36" s="194">
        <v>33622</v>
      </c>
      <c r="G36" s="195">
        <f t="shared" si="0"/>
        <v>40346.4</v>
      </c>
      <c r="H36" s="521"/>
    </row>
    <row r="37" spans="1:8" s="313" customFormat="1" ht="15.75">
      <c r="A37" s="200"/>
      <c r="B37" s="179"/>
      <c r="C37" s="174" t="s">
        <v>669</v>
      </c>
      <c r="D37" s="317" t="s">
        <v>20</v>
      </c>
      <c r="E37" s="194" t="s">
        <v>71</v>
      </c>
      <c r="F37" s="194">
        <v>36780</v>
      </c>
      <c r="G37" s="195">
        <f t="shared" si="0"/>
        <v>44136</v>
      </c>
      <c r="H37" s="554"/>
    </row>
    <row r="38" spans="1:8" s="313" customFormat="1" ht="47.25">
      <c r="A38" s="200">
        <v>5</v>
      </c>
      <c r="B38" s="36" t="s">
        <v>599</v>
      </c>
      <c r="C38" s="223" t="s">
        <v>365</v>
      </c>
      <c r="D38" s="599" t="s">
        <v>20</v>
      </c>
      <c r="E38" s="387" t="s">
        <v>71</v>
      </c>
      <c r="F38" s="377">
        <v>7466</v>
      </c>
      <c r="G38" s="377">
        <f>F38*1.2</f>
        <v>8959.199999999999</v>
      </c>
      <c r="H38" s="604" t="s">
        <v>54</v>
      </c>
    </row>
    <row r="39" spans="1:8" s="313" customFormat="1" ht="47.25">
      <c r="A39" s="329"/>
      <c r="B39" s="41"/>
      <c r="C39" s="174" t="s">
        <v>366</v>
      </c>
      <c r="D39" s="193" t="s">
        <v>20</v>
      </c>
      <c r="E39" s="194" t="s">
        <v>21</v>
      </c>
      <c r="F39" s="195">
        <v>5748</v>
      </c>
      <c r="G39" s="195">
        <f>F39*1.2</f>
        <v>6897.599999999999</v>
      </c>
      <c r="H39" s="427" t="s">
        <v>54</v>
      </c>
    </row>
    <row r="40" spans="1:8" s="313" customFormat="1" ht="15.75">
      <c r="A40" s="549" t="s">
        <v>61</v>
      </c>
      <c r="B40" s="550"/>
      <c r="C40" s="550"/>
      <c r="D40" s="550"/>
      <c r="E40" s="550"/>
      <c r="F40" s="550"/>
      <c r="G40" s="550"/>
      <c r="H40" s="551"/>
    </row>
    <row r="41" spans="1:8" s="313" customFormat="1" ht="15.75">
      <c r="A41" s="25" t="s">
        <v>62</v>
      </c>
      <c r="B41" s="26"/>
      <c r="C41" s="361" t="s">
        <v>63</v>
      </c>
      <c r="D41" s="362"/>
      <c r="E41" s="362"/>
      <c r="F41" s="362"/>
      <c r="G41" s="362"/>
      <c r="H41" s="363"/>
    </row>
    <row r="42" spans="1:8" s="313" customFormat="1" ht="15.75">
      <c r="A42" s="320">
        <v>6</v>
      </c>
      <c r="B42" s="30" t="s">
        <v>284</v>
      </c>
      <c r="C42" s="173" t="s">
        <v>65</v>
      </c>
      <c r="D42" s="193" t="s">
        <v>25</v>
      </c>
      <c r="E42" s="194"/>
      <c r="F42" s="198" t="s">
        <v>543</v>
      </c>
      <c r="G42" s="198"/>
      <c r="H42" s="429"/>
    </row>
    <row r="43" spans="1:8" s="313" customFormat="1" ht="15.75">
      <c r="A43" s="177"/>
      <c r="B43" s="178"/>
      <c r="C43" s="178"/>
      <c r="D43" s="193" t="s">
        <v>20</v>
      </c>
      <c r="E43" s="194" t="s">
        <v>21</v>
      </c>
      <c r="F43" s="198" t="s">
        <v>543</v>
      </c>
      <c r="G43" s="198"/>
      <c r="H43" s="548"/>
    </row>
    <row r="44" spans="1:8" s="313" customFormat="1" ht="15.75">
      <c r="A44" s="180"/>
      <c r="B44" s="179"/>
      <c r="C44" s="179"/>
      <c r="D44" s="193" t="s">
        <v>20</v>
      </c>
      <c r="E44" s="194" t="s">
        <v>24</v>
      </c>
      <c r="F44" s="198" t="s">
        <v>544</v>
      </c>
      <c r="G44" s="198"/>
      <c r="H44" s="434"/>
    </row>
    <row r="45" spans="1:8" s="313" customFormat="1" ht="15.75">
      <c r="A45" s="716"/>
      <c r="B45" s="383" t="s">
        <v>286</v>
      </c>
      <c r="C45" s="361" t="s">
        <v>604</v>
      </c>
      <c r="D45" s="362"/>
      <c r="E45" s="362"/>
      <c r="F45" s="362"/>
      <c r="G45" s="362"/>
      <c r="H45" s="363"/>
    </row>
    <row r="46" spans="1:8" s="313" customFormat="1" ht="15.75">
      <c r="A46" s="541">
        <v>7</v>
      </c>
      <c r="B46" s="30"/>
      <c r="C46" s="197" t="s">
        <v>670</v>
      </c>
      <c r="D46" s="193" t="s">
        <v>605</v>
      </c>
      <c r="E46" s="194" t="s">
        <v>71</v>
      </c>
      <c r="F46" s="195">
        <v>134</v>
      </c>
      <c r="G46" s="717">
        <f>F46*1.2</f>
        <v>160.79999999999998</v>
      </c>
      <c r="H46" s="519" t="s">
        <v>606</v>
      </c>
    </row>
    <row r="47" spans="1:8" s="313" customFormat="1" ht="15.75">
      <c r="A47" s="541"/>
      <c r="B47" s="36"/>
      <c r="C47" s="175"/>
      <c r="D47" s="193" t="s">
        <v>605</v>
      </c>
      <c r="E47" s="194" t="s">
        <v>221</v>
      </c>
      <c r="F47" s="195">
        <v>231</v>
      </c>
      <c r="G47" s="717">
        <f>F47*1.2</f>
        <v>277.2</v>
      </c>
      <c r="H47" s="554"/>
    </row>
    <row r="48" spans="1:8" s="313" customFormat="1" ht="15.75">
      <c r="A48" s="541"/>
      <c r="B48" s="36"/>
      <c r="C48" s="175" t="s">
        <v>671</v>
      </c>
      <c r="D48" s="193" t="s">
        <v>605</v>
      </c>
      <c r="E48" s="174" t="s">
        <v>21</v>
      </c>
      <c r="F48" s="238">
        <v>697</v>
      </c>
      <c r="G48" s="222">
        <f aca="true" t="shared" si="1" ref="G48:G53">F48*1.2</f>
        <v>836.4</v>
      </c>
      <c r="H48" s="519" t="s">
        <v>607</v>
      </c>
    </row>
    <row r="49" spans="1:8" s="313" customFormat="1" ht="15.75">
      <c r="A49" s="541"/>
      <c r="B49" s="36"/>
      <c r="C49" s="175"/>
      <c r="D49" s="193" t="s">
        <v>605</v>
      </c>
      <c r="E49" s="174" t="s">
        <v>221</v>
      </c>
      <c r="F49" s="238">
        <v>1201</v>
      </c>
      <c r="G49" s="222">
        <f t="shared" si="1"/>
        <v>1441.2</v>
      </c>
      <c r="H49" s="554"/>
    </row>
    <row r="50" spans="1:8" s="313" customFormat="1" ht="15.75">
      <c r="A50" s="541"/>
      <c r="B50" s="36"/>
      <c r="C50" s="175" t="s">
        <v>671</v>
      </c>
      <c r="D50" s="193" t="s">
        <v>605</v>
      </c>
      <c r="E50" s="174" t="s">
        <v>21</v>
      </c>
      <c r="F50" s="238">
        <v>1045</v>
      </c>
      <c r="G50" s="222">
        <f t="shared" si="1"/>
        <v>1254</v>
      </c>
      <c r="H50" s="519" t="s">
        <v>608</v>
      </c>
    </row>
    <row r="51" spans="1:8" s="313" customFormat="1" ht="15.75">
      <c r="A51" s="541"/>
      <c r="B51" s="36"/>
      <c r="C51" s="175"/>
      <c r="D51" s="193" t="s">
        <v>605</v>
      </c>
      <c r="E51" s="174" t="s">
        <v>221</v>
      </c>
      <c r="F51" s="238">
        <v>1802</v>
      </c>
      <c r="G51" s="222">
        <f t="shared" si="1"/>
        <v>2162.4</v>
      </c>
      <c r="H51" s="554"/>
    </row>
    <row r="52" spans="1:8" s="313" customFormat="1" ht="63">
      <c r="A52" s="541"/>
      <c r="B52" s="36"/>
      <c r="C52" s="173" t="s">
        <v>672</v>
      </c>
      <c r="D52" s="186" t="s">
        <v>673</v>
      </c>
      <c r="E52" s="174" t="s">
        <v>25</v>
      </c>
      <c r="F52" s="194">
        <v>2112</v>
      </c>
      <c r="G52" s="222">
        <f t="shared" si="1"/>
        <v>2534.4</v>
      </c>
      <c r="H52" s="443" t="s">
        <v>211</v>
      </c>
    </row>
    <row r="53" spans="1:8" s="313" customFormat="1" ht="63">
      <c r="A53" s="541"/>
      <c r="B53" s="178"/>
      <c r="C53" s="179"/>
      <c r="D53" s="186" t="s">
        <v>673</v>
      </c>
      <c r="E53" s="174" t="s">
        <v>25</v>
      </c>
      <c r="F53" s="194">
        <v>3168</v>
      </c>
      <c r="G53" s="222">
        <f t="shared" si="1"/>
        <v>3801.6</v>
      </c>
      <c r="H53" s="443" t="s">
        <v>674</v>
      </c>
    </row>
    <row r="54" spans="1:8" s="313" customFormat="1" ht="47.25">
      <c r="A54" s="322"/>
      <c r="B54" s="223"/>
      <c r="C54" s="9" t="s">
        <v>675</v>
      </c>
      <c r="D54" s="186" t="s">
        <v>605</v>
      </c>
      <c r="E54" s="194" t="s">
        <v>21</v>
      </c>
      <c r="F54" s="33" t="s">
        <v>22</v>
      </c>
      <c r="G54" s="34"/>
      <c r="H54" s="234" t="s">
        <v>676</v>
      </c>
    </row>
    <row r="55" spans="1:8" s="313" customFormat="1" ht="15.75">
      <c r="A55" s="542" t="s">
        <v>81</v>
      </c>
      <c r="B55" s="386"/>
      <c r="C55" s="384" t="s">
        <v>82</v>
      </c>
      <c r="D55" s="385"/>
      <c r="E55" s="385"/>
      <c r="F55" s="385"/>
      <c r="G55" s="385"/>
      <c r="H55" s="590"/>
    </row>
    <row r="56" spans="1:8" s="313" customFormat="1" ht="15.75">
      <c r="A56" s="320">
        <v>8</v>
      </c>
      <c r="B56" s="378" t="s">
        <v>83</v>
      </c>
      <c r="C56" s="384" t="s">
        <v>84</v>
      </c>
      <c r="D56" s="385"/>
      <c r="E56" s="385"/>
      <c r="F56" s="385"/>
      <c r="G56" s="385"/>
      <c r="H56" s="590"/>
    </row>
    <row r="57" spans="1:8" s="313" customFormat="1" ht="78.75">
      <c r="A57" s="541"/>
      <c r="B57" s="31" t="s">
        <v>85</v>
      </c>
      <c r="C57" s="193" t="s">
        <v>677</v>
      </c>
      <c r="D57" s="209" t="s">
        <v>87</v>
      </c>
      <c r="E57" s="194" t="s">
        <v>21</v>
      </c>
      <c r="F57" s="194">
        <v>2874</v>
      </c>
      <c r="G57" s="194">
        <f>F57*1.2</f>
        <v>3448.7999999999997</v>
      </c>
      <c r="H57" s="234" t="s">
        <v>678</v>
      </c>
    </row>
    <row r="58" spans="1:8" s="313" customFormat="1" ht="78.75">
      <c r="A58" s="322"/>
      <c r="B58" s="42"/>
      <c r="C58" s="193" t="s">
        <v>679</v>
      </c>
      <c r="D58" s="622" t="s">
        <v>87</v>
      </c>
      <c r="E58" s="194" t="s">
        <v>21</v>
      </c>
      <c r="F58" s="194">
        <v>859</v>
      </c>
      <c r="G58" s="194">
        <f>F58*1.2</f>
        <v>1030.8</v>
      </c>
      <c r="H58" s="237"/>
    </row>
    <row r="59" spans="1:8" s="313" customFormat="1" ht="15.75">
      <c r="A59" s="320">
        <v>9</v>
      </c>
      <c r="B59" s="383" t="s">
        <v>93</v>
      </c>
      <c r="C59" s="384" t="s">
        <v>94</v>
      </c>
      <c r="D59" s="385"/>
      <c r="E59" s="385"/>
      <c r="F59" s="385"/>
      <c r="G59" s="385"/>
      <c r="H59" s="590"/>
    </row>
    <row r="60" spans="1:8" s="313" customFormat="1" ht="15.75">
      <c r="A60" s="541"/>
      <c r="B60" s="30"/>
      <c r="C60" s="321" t="s">
        <v>680</v>
      </c>
      <c r="D60" s="174" t="s">
        <v>96</v>
      </c>
      <c r="E60" s="311" t="s">
        <v>71</v>
      </c>
      <c r="F60" s="194">
        <v>308</v>
      </c>
      <c r="G60" s="194">
        <f aca="true" t="shared" si="2" ref="G60:G67">F60*1.2</f>
        <v>369.59999999999997</v>
      </c>
      <c r="H60" s="519" t="s">
        <v>787</v>
      </c>
    </row>
    <row r="61" spans="1:8" s="313" customFormat="1" ht="15.75">
      <c r="A61" s="541"/>
      <c r="B61" s="36"/>
      <c r="C61" s="179"/>
      <c r="D61" s="174" t="s">
        <v>681</v>
      </c>
      <c r="E61" s="319"/>
      <c r="F61" s="194">
        <v>13</v>
      </c>
      <c r="G61" s="195">
        <f t="shared" si="2"/>
        <v>15.6</v>
      </c>
      <c r="H61" s="718"/>
    </row>
    <row r="62" spans="1:8" s="313" customFormat="1" ht="31.5">
      <c r="A62" s="541"/>
      <c r="B62" s="36"/>
      <c r="C62" s="317" t="s">
        <v>784</v>
      </c>
      <c r="D62" s="174" t="s">
        <v>96</v>
      </c>
      <c r="E62" s="319"/>
      <c r="F62" s="194">
        <v>116</v>
      </c>
      <c r="G62" s="194">
        <f t="shared" si="2"/>
        <v>139.2</v>
      </c>
      <c r="H62" s="718"/>
    </row>
    <row r="63" spans="1:8" s="313" customFormat="1" ht="15.75">
      <c r="A63" s="541">
        <v>10</v>
      </c>
      <c r="B63" s="30" t="s">
        <v>223</v>
      </c>
      <c r="C63" s="321" t="s">
        <v>224</v>
      </c>
      <c r="D63" s="317" t="s">
        <v>20</v>
      </c>
      <c r="E63" s="194" t="s">
        <v>21</v>
      </c>
      <c r="F63" s="194">
        <v>6125</v>
      </c>
      <c r="G63" s="195">
        <f t="shared" si="2"/>
        <v>7350</v>
      </c>
      <c r="H63" s="176" t="s">
        <v>682</v>
      </c>
    </row>
    <row r="64" spans="1:8" s="313" customFormat="1" ht="15.75">
      <c r="A64" s="177"/>
      <c r="B64" s="178"/>
      <c r="C64" s="178"/>
      <c r="D64" s="317" t="s">
        <v>20</v>
      </c>
      <c r="E64" s="317" t="s">
        <v>683</v>
      </c>
      <c r="F64" s="194">
        <v>29376</v>
      </c>
      <c r="G64" s="195">
        <f t="shared" si="2"/>
        <v>35251.2</v>
      </c>
      <c r="H64" s="554"/>
    </row>
    <row r="65" spans="1:8" s="313" customFormat="1" ht="15.75">
      <c r="A65" s="180"/>
      <c r="B65" s="179"/>
      <c r="C65" s="179"/>
      <c r="D65" s="225" t="s">
        <v>623</v>
      </c>
      <c r="E65" s="194"/>
      <c r="F65" s="194">
        <v>398</v>
      </c>
      <c r="G65" s="195">
        <f t="shared" si="2"/>
        <v>477.59999999999997</v>
      </c>
      <c r="H65" s="496" t="s">
        <v>684</v>
      </c>
    </row>
    <row r="66" spans="1:8" s="313" customFormat="1" ht="15.75">
      <c r="A66" s="196">
        <v>11</v>
      </c>
      <c r="B66" s="30" t="s">
        <v>107</v>
      </c>
      <c r="C66" s="321" t="s">
        <v>108</v>
      </c>
      <c r="D66" s="321" t="s">
        <v>109</v>
      </c>
      <c r="E66" s="194" t="s">
        <v>685</v>
      </c>
      <c r="F66" s="194">
        <v>635</v>
      </c>
      <c r="G66" s="195">
        <f t="shared" si="2"/>
        <v>762</v>
      </c>
      <c r="H66" s="234" t="s">
        <v>110</v>
      </c>
    </row>
    <row r="67" spans="1:8" s="313" customFormat="1" ht="15.75">
      <c r="A67" s="200"/>
      <c r="B67" s="41"/>
      <c r="C67" s="179"/>
      <c r="D67" s="323"/>
      <c r="E67" s="194" t="s">
        <v>685</v>
      </c>
      <c r="F67" s="194">
        <v>507</v>
      </c>
      <c r="G67" s="195">
        <f t="shared" si="2"/>
        <v>608.4</v>
      </c>
      <c r="H67" s="234" t="s">
        <v>111</v>
      </c>
    </row>
    <row r="68" spans="1:8" s="313" customFormat="1" ht="31.5">
      <c r="A68" s="329">
        <v>12</v>
      </c>
      <c r="B68" s="306" t="s">
        <v>112</v>
      </c>
      <c r="C68" s="326" t="s">
        <v>113</v>
      </c>
      <c r="D68" s="317" t="s">
        <v>109</v>
      </c>
      <c r="E68" s="194" t="s">
        <v>21</v>
      </c>
      <c r="F68" s="194">
        <v>4696</v>
      </c>
      <c r="G68" s="194">
        <f>F68*1.2</f>
        <v>5635.2</v>
      </c>
      <c r="H68" s="234" t="s">
        <v>389</v>
      </c>
    </row>
    <row r="69" spans="1:8" s="313" customFormat="1" ht="63">
      <c r="A69" s="329"/>
      <c r="B69" s="306"/>
      <c r="C69" s="175"/>
      <c r="D69" s="209" t="s">
        <v>20</v>
      </c>
      <c r="E69" s="194" t="s">
        <v>71</v>
      </c>
      <c r="F69" s="194">
        <v>1105</v>
      </c>
      <c r="G69" s="194">
        <f>F69*1.2</f>
        <v>1326</v>
      </c>
      <c r="H69" s="234" t="s">
        <v>686</v>
      </c>
    </row>
    <row r="70" spans="1:8" s="313" customFormat="1" ht="31.5">
      <c r="A70" s="199">
        <v>13</v>
      </c>
      <c r="B70" s="36" t="s">
        <v>122</v>
      </c>
      <c r="C70" s="178" t="s">
        <v>393</v>
      </c>
      <c r="D70" s="341" t="s">
        <v>20</v>
      </c>
      <c r="E70" s="719" t="s">
        <v>71</v>
      </c>
      <c r="F70" s="387">
        <v>2497</v>
      </c>
      <c r="G70" s="719">
        <f>F70*1.2</f>
        <v>2996.4</v>
      </c>
      <c r="H70" s="607" t="s">
        <v>124</v>
      </c>
    </row>
    <row r="71" spans="1:8" s="313" customFormat="1" ht="63">
      <c r="A71" s="199"/>
      <c r="B71" s="36"/>
      <c r="C71" s="178"/>
      <c r="D71" s="174" t="s">
        <v>118</v>
      </c>
      <c r="E71" s="174"/>
      <c r="F71" s="555" t="s">
        <v>126</v>
      </c>
      <c r="G71" s="556"/>
      <c r="H71" s="234" t="s">
        <v>128</v>
      </c>
    </row>
    <row r="72" spans="1:8" ht="31.5">
      <c r="A72" s="200"/>
      <c r="B72" s="41"/>
      <c r="C72" s="179"/>
      <c r="D72" s="186" t="s">
        <v>687</v>
      </c>
      <c r="E72" s="194" t="s">
        <v>21</v>
      </c>
      <c r="F72" s="194">
        <v>198</v>
      </c>
      <c r="G72" s="194">
        <f>F72*1.2</f>
        <v>237.6</v>
      </c>
      <c r="H72" s="234" t="s">
        <v>688</v>
      </c>
    </row>
    <row r="73" spans="1:8" ht="15.75">
      <c r="A73" s="25" t="s">
        <v>129</v>
      </c>
      <c r="B73" s="26"/>
      <c r="C73" s="614" t="s">
        <v>130</v>
      </c>
      <c r="D73" s="615"/>
      <c r="E73" s="615"/>
      <c r="F73" s="615"/>
      <c r="G73" s="615"/>
      <c r="H73" s="616"/>
    </row>
    <row r="74" spans="1:8" ht="15.75">
      <c r="A74" s="543" t="s">
        <v>689</v>
      </c>
      <c r="B74" s="383" t="s">
        <v>136</v>
      </c>
      <c r="C74" s="186" t="s">
        <v>137</v>
      </c>
      <c r="D74" s="186" t="s">
        <v>25</v>
      </c>
      <c r="E74" s="194" t="s">
        <v>690</v>
      </c>
      <c r="F74" s="411" t="s">
        <v>134</v>
      </c>
      <c r="G74" s="412"/>
      <c r="H74" s="237"/>
    </row>
    <row r="75" spans="1:8" ht="15.75">
      <c r="A75" s="444" t="s">
        <v>691</v>
      </c>
      <c r="B75" s="328" t="s">
        <v>329</v>
      </c>
      <c r="C75" s="186" t="s">
        <v>330</v>
      </c>
      <c r="D75" s="174" t="s">
        <v>20</v>
      </c>
      <c r="E75" s="195" t="s">
        <v>692</v>
      </c>
      <c r="F75" s="411" t="s">
        <v>134</v>
      </c>
      <c r="G75" s="412"/>
      <c r="H75" s="237" t="s">
        <v>331</v>
      </c>
    </row>
    <row r="76" spans="1:8" ht="15.75">
      <c r="A76" s="196">
        <v>16</v>
      </c>
      <c r="B76" s="30" t="s">
        <v>142</v>
      </c>
      <c r="C76" s="173" t="s">
        <v>143</v>
      </c>
      <c r="D76" s="321" t="s">
        <v>20</v>
      </c>
      <c r="E76" s="194" t="s">
        <v>21</v>
      </c>
      <c r="F76" s="404" t="s">
        <v>134</v>
      </c>
      <c r="G76" s="405"/>
      <c r="H76" s="519"/>
    </row>
    <row r="77" spans="1:8" ht="15.75">
      <c r="A77" s="200"/>
      <c r="B77" s="41"/>
      <c r="C77" s="179"/>
      <c r="D77" s="323"/>
      <c r="E77" s="195" t="s">
        <v>24</v>
      </c>
      <c r="F77" s="407"/>
      <c r="G77" s="408"/>
      <c r="H77" s="554"/>
    </row>
    <row r="78" spans="1:8" ht="47.25">
      <c r="A78" s="338">
        <v>17</v>
      </c>
      <c r="B78" s="328" t="s">
        <v>144</v>
      </c>
      <c r="C78" s="186" t="s">
        <v>693</v>
      </c>
      <c r="D78" s="544" t="s">
        <v>694</v>
      </c>
      <c r="E78" s="195" t="s">
        <v>690</v>
      </c>
      <c r="F78" s="411" t="s">
        <v>134</v>
      </c>
      <c r="G78" s="412"/>
      <c r="H78" s="234"/>
    </row>
    <row r="79" spans="1:8" ht="15.75">
      <c r="A79" s="196">
        <v>18</v>
      </c>
      <c r="B79" s="30" t="s">
        <v>241</v>
      </c>
      <c r="C79" s="173" t="s">
        <v>646</v>
      </c>
      <c r="D79" s="225" t="s">
        <v>20</v>
      </c>
      <c r="E79" s="194" t="s">
        <v>21</v>
      </c>
      <c r="F79" s="194">
        <v>1776</v>
      </c>
      <c r="G79" s="194">
        <f>F79*1.2</f>
        <v>2131.2</v>
      </c>
      <c r="H79" s="720" t="s">
        <v>695</v>
      </c>
    </row>
    <row r="80" spans="1:8" ht="47.25">
      <c r="A80" s="199"/>
      <c r="B80" s="36"/>
      <c r="C80" s="178"/>
      <c r="D80" s="174" t="s">
        <v>20</v>
      </c>
      <c r="E80" s="174" t="s">
        <v>403</v>
      </c>
      <c r="F80" s="233" t="s">
        <v>22</v>
      </c>
      <c r="G80" s="207"/>
      <c r="H80" s="721" t="s">
        <v>696</v>
      </c>
    </row>
    <row r="81" spans="1:8" ht="31.5">
      <c r="A81" s="200"/>
      <c r="B81" s="41"/>
      <c r="C81" s="179"/>
      <c r="D81" s="186" t="s">
        <v>151</v>
      </c>
      <c r="E81" s="186" t="s">
        <v>685</v>
      </c>
      <c r="F81" s="222">
        <v>212</v>
      </c>
      <c r="G81" s="194">
        <f>F81*1.2</f>
        <v>254.39999999999998</v>
      </c>
      <c r="H81" s="721" t="s">
        <v>244</v>
      </c>
    </row>
    <row r="82" spans="1:8" ht="47.25">
      <c r="A82" s="545">
        <v>19</v>
      </c>
      <c r="B82" s="328" t="s">
        <v>245</v>
      </c>
      <c r="C82" s="186" t="s">
        <v>405</v>
      </c>
      <c r="D82" s="186" t="s">
        <v>118</v>
      </c>
      <c r="E82" s="186" t="s">
        <v>685</v>
      </c>
      <c r="F82" s="194">
        <v>2181.91</v>
      </c>
      <c r="G82" s="194">
        <f>F82*1.2</f>
        <v>2618.292</v>
      </c>
      <c r="H82" s="721"/>
    </row>
    <row r="83" spans="1:8" s="313" customFormat="1" ht="15.75">
      <c r="A83" s="204"/>
      <c r="B83" s="205"/>
      <c r="C83" s="345" t="s">
        <v>158</v>
      </c>
      <c r="D83" s="346"/>
      <c r="E83" s="346"/>
      <c r="F83" s="346"/>
      <c r="G83" s="346"/>
      <c r="H83" s="347"/>
    </row>
    <row r="84" spans="1:8" s="313" customFormat="1" ht="31.5">
      <c r="A84" s="338">
        <v>20</v>
      </c>
      <c r="B84" s="328" t="s">
        <v>159</v>
      </c>
      <c r="C84" s="225" t="s">
        <v>160</v>
      </c>
      <c r="D84" s="546" t="s">
        <v>161</v>
      </c>
      <c r="E84" s="391" t="s">
        <v>71</v>
      </c>
      <c r="F84" s="547">
        <v>1792</v>
      </c>
      <c r="G84" s="547">
        <f>F84*1.2</f>
        <v>2150.4</v>
      </c>
      <c r="H84" s="603" t="s">
        <v>246</v>
      </c>
    </row>
    <row r="85" spans="1:8" s="313" customFormat="1" ht="15.75">
      <c r="A85" s="338">
        <v>21</v>
      </c>
      <c r="B85" s="328" t="s">
        <v>697</v>
      </c>
      <c r="C85" s="174" t="s">
        <v>652</v>
      </c>
      <c r="D85" s="193" t="s">
        <v>20</v>
      </c>
      <c r="E85" s="194" t="s">
        <v>21</v>
      </c>
      <c r="F85" s="195">
        <v>893</v>
      </c>
      <c r="G85" s="195">
        <f>F85*1.2</f>
        <v>1071.6</v>
      </c>
      <c r="H85" s="427" t="s">
        <v>698</v>
      </c>
    </row>
    <row r="86" spans="1:8" s="313" customFormat="1" ht="16.5" thickBot="1">
      <c r="A86" s="348">
        <v>22</v>
      </c>
      <c r="B86" s="349" t="s">
        <v>697</v>
      </c>
      <c r="C86" s="243" t="s">
        <v>652</v>
      </c>
      <c r="D86" s="350" t="s">
        <v>20</v>
      </c>
      <c r="E86" s="351" t="s">
        <v>21</v>
      </c>
      <c r="F86" s="280">
        <v>893</v>
      </c>
      <c r="G86" s="280">
        <f>F86*1.2</f>
        <v>1071.6</v>
      </c>
      <c r="H86" s="352" t="s">
        <v>698</v>
      </c>
    </row>
    <row r="87" spans="3:8" ht="15.75">
      <c r="C87" s="252"/>
      <c r="E87" s="252"/>
      <c r="F87" s="253"/>
      <c r="H87" s="250"/>
    </row>
    <row r="88" spans="1:8" ht="15.75">
      <c r="A88" s="499" t="s">
        <v>166</v>
      </c>
      <c r="B88" s="676"/>
      <c r="C88" s="499"/>
      <c r="E88" s="318"/>
      <c r="F88" s="318"/>
      <c r="H88" s="250"/>
    </row>
    <row r="89" spans="1:8" ht="15.75">
      <c r="A89" s="499"/>
      <c r="B89" s="676"/>
      <c r="C89" s="499"/>
      <c r="E89" s="318"/>
      <c r="F89" s="318"/>
      <c r="H89" s="250"/>
    </row>
    <row r="90" spans="1:8" ht="15.75">
      <c r="A90" s="722" t="s">
        <v>167</v>
      </c>
      <c r="B90" s="676"/>
      <c r="C90" s="500"/>
      <c r="D90" s="318"/>
      <c r="E90" s="253" t="s">
        <v>699</v>
      </c>
      <c r="F90" s="318"/>
      <c r="H90" s="250"/>
    </row>
    <row r="91" spans="1:8" ht="15.75">
      <c r="A91" s="722"/>
      <c r="B91" s="676"/>
      <c r="C91" s="500"/>
      <c r="D91" s="318"/>
      <c r="E91" s="253"/>
      <c r="F91" s="318"/>
      <c r="H91" s="250"/>
    </row>
    <row r="92" spans="1:8" ht="15.75">
      <c r="A92" s="494" t="s">
        <v>700</v>
      </c>
      <c r="B92" s="494"/>
      <c r="C92" s="500"/>
      <c r="D92" s="318"/>
      <c r="E92" s="253" t="s">
        <v>170</v>
      </c>
      <c r="F92" s="318"/>
      <c r="H92" s="250"/>
    </row>
    <row r="93" spans="1:8" ht="15.75">
      <c r="A93" s="722"/>
      <c r="B93" s="676"/>
      <c r="C93" s="500"/>
      <c r="D93" s="318"/>
      <c r="E93" s="253"/>
      <c r="F93" s="318"/>
      <c r="H93" s="250"/>
    </row>
    <row r="94" spans="1:8" ht="15.75">
      <c r="A94" s="722" t="s">
        <v>171</v>
      </c>
      <c r="B94" s="676"/>
      <c r="C94" s="500"/>
      <c r="D94" s="318"/>
      <c r="E94" s="253" t="s">
        <v>172</v>
      </c>
      <c r="F94" s="318"/>
      <c r="H94" s="250"/>
    </row>
    <row r="95" spans="1:8" ht="15.75">
      <c r="A95" s="722"/>
      <c r="B95" s="676"/>
      <c r="C95" s="500"/>
      <c r="D95" s="318"/>
      <c r="E95" s="253"/>
      <c r="F95" s="318"/>
      <c r="H95" s="250"/>
    </row>
    <row r="96" spans="1:8" ht="15.75">
      <c r="A96" s="722" t="s">
        <v>173</v>
      </c>
      <c r="B96" s="676"/>
      <c r="C96" s="500"/>
      <c r="D96" s="318"/>
      <c r="E96" s="253" t="s">
        <v>701</v>
      </c>
      <c r="F96" s="318"/>
      <c r="H96" s="250"/>
    </row>
    <row r="97" spans="1:8" ht="15.75">
      <c r="A97" s="722"/>
      <c r="B97" s="676"/>
      <c r="C97" s="500"/>
      <c r="D97" s="318"/>
      <c r="E97" s="253"/>
      <c r="F97" s="318"/>
      <c r="H97" s="250"/>
    </row>
    <row r="98" spans="1:8" ht="15.75">
      <c r="A98" s="722" t="s">
        <v>702</v>
      </c>
      <c r="B98" s="722"/>
      <c r="C98" s="500"/>
      <c r="D98" s="318"/>
      <c r="E98" s="253" t="s">
        <v>703</v>
      </c>
      <c r="F98" s="318"/>
      <c r="H98" s="250"/>
    </row>
  </sheetData>
  <sheetProtection/>
  <mergeCells count="103">
    <mergeCell ref="A83:B83"/>
    <mergeCell ref="C83:H83"/>
    <mergeCell ref="A11:H11"/>
    <mergeCell ref="H76:H77"/>
    <mergeCell ref="F78:G78"/>
    <mergeCell ref="A79:A81"/>
    <mergeCell ref="B79:B81"/>
    <mergeCell ref="C79:C81"/>
    <mergeCell ref="F80:G80"/>
    <mergeCell ref="F71:G71"/>
    <mergeCell ref="A73:B73"/>
    <mergeCell ref="C73:H73"/>
    <mergeCell ref="F74:G74"/>
    <mergeCell ref="F75:G75"/>
    <mergeCell ref="A76:A77"/>
    <mergeCell ref="B76:B77"/>
    <mergeCell ref="C76:C77"/>
    <mergeCell ref="D76:D77"/>
    <mergeCell ref="F76:G77"/>
    <mergeCell ref="A68:A69"/>
    <mergeCell ref="B68:B69"/>
    <mergeCell ref="C68:C69"/>
    <mergeCell ref="A70:A72"/>
    <mergeCell ref="B70:B72"/>
    <mergeCell ref="C70:C72"/>
    <mergeCell ref="A63:A65"/>
    <mergeCell ref="B63:B65"/>
    <mergeCell ref="C63:C65"/>
    <mergeCell ref="H63:H64"/>
    <mergeCell ref="A66:A67"/>
    <mergeCell ref="B66:B67"/>
    <mergeCell ref="C66:C67"/>
    <mergeCell ref="D66:D67"/>
    <mergeCell ref="A59:A62"/>
    <mergeCell ref="C59:H59"/>
    <mergeCell ref="B60:B62"/>
    <mergeCell ref="C60:C61"/>
    <mergeCell ref="E60:E62"/>
    <mergeCell ref="H60:H62"/>
    <mergeCell ref="F54:G54"/>
    <mergeCell ref="A55:B55"/>
    <mergeCell ref="C55:H55"/>
    <mergeCell ref="A56:A58"/>
    <mergeCell ref="C56:H56"/>
    <mergeCell ref="B57:B58"/>
    <mergeCell ref="C45:H45"/>
    <mergeCell ref="A46:A54"/>
    <mergeCell ref="B46:B53"/>
    <mergeCell ref="C46:C47"/>
    <mergeCell ref="H46:H47"/>
    <mergeCell ref="C48:C49"/>
    <mergeCell ref="H48:H49"/>
    <mergeCell ref="C50:C51"/>
    <mergeCell ref="H50:H51"/>
    <mergeCell ref="C52:C53"/>
    <mergeCell ref="A40:H40"/>
    <mergeCell ref="A41:B41"/>
    <mergeCell ref="C41:H41"/>
    <mergeCell ref="A42:A44"/>
    <mergeCell ref="B42:B44"/>
    <mergeCell ref="C42:C44"/>
    <mergeCell ref="F42:G42"/>
    <mergeCell ref="H42:H44"/>
    <mergeCell ref="F43:G43"/>
    <mergeCell ref="F44:G44"/>
    <mergeCell ref="A24:A37"/>
    <mergeCell ref="B24:B37"/>
    <mergeCell ref="C24:H24"/>
    <mergeCell ref="H25:H37"/>
    <mergeCell ref="A38:A39"/>
    <mergeCell ref="B38:B39"/>
    <mergeCell ref="A21:A23"/>
    <mergeCell ref="B21:B23"/>
    <mergeCell ref="C21:C23"/>
    <mergeCell ref="D21:D22"/>
    <mergeCell ref="F21:G21"/>
    <mergeCell ref="H21:H23"/>
    <mergeCell ref="F22:G22"/>
    <mergeCell ref="F23:G23"/>
    <mergeCell ref="A18:A20"/>
    <mergeCell ref="B18:B20"/>
    <mergeCell ref="C18:C20"/>
    <mergeCell ref="D18:D19"/>
    <mergeCell ref="F18:G18"/>
    <mergeCell ref="H18:H20"/>
    <mergeCell ref="F19:G19"/>
    <mergeCell ref="F20:G20"/>
    <mergeCell ref="A16:A17"/>
    <mergeCell ref="B16:B17"/>
    <mergeCell ref="C16:C17"/>
    <mergeCell ref="F16:G16"/>
    <mergeCell ref="H16:H17"/>
    <mergeCell ref="F17:G17"/>
    <mergeCell ref="A9:H9"/>
    <mergeCell ref="A10:H10"/>
    <mergeCell ref="A12:H12"/>
    <mergeCell ref="A15:B15"/>
    <mergeCell ref="C15:H15"/>
    <mergeCell ref="O6:P6"/>
    <mergeCell ref="O5:P5"/>
    <mergeCell ref="O4:P4"/>
    <mergeCell ref="O3:P3"/>
    <mergeCell ref="O2:P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KorepanovaAP</dc:creator>
  <cp:keywords/>
  <dc:description/>
  <cp:lastModifiedBy>KorepanovaAP</cp:lastModifiedBy>
  <dcterms:created xsi:type="dcterms:W3CDTF">2020-02-03T08:18:19Z</dcterms:created>
  <dcterms:modified xsi:type="dcterms:W3CDTF">2020-02-03T09:54:02Z</dcterms:modified>
  <cp:category/>
  <cp:version/>
  <cp:contentType/>
  <cp:contentStatus/>
</cp:coreProperties>
</file>