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23280" windowHeight="13200" activeTab="8"/>
  </bookViews>
  <sheets>
    <sheet name="Березники" sheetId="1" r:id="rId1"/>
    <sheet name="Блочная" sheetId="2" r:id="rId2"/>
    <sheet name="Екатеринбург-тов" sheetId="3" r:id="rId3"/>
    <sheet name="Войновка" sheetId="4" r:id="rId4"/>
    <sheet name="Сургут" sheetId="5" r:id="rId5"/>
    <sheet name="Нижневартовск" sheetId="6" r:id="rId6"/>
    <sheet name="Курган" sheetId="7" r:id="rId7"/>
    <sheet name="Челябинск-гр" sheetId="8" r:id="rId8"/>
    <sheet name="Магнитогорск-гр" sheetId="9" r:id="rId9"/>
    <sheet name="Оренбург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<sst xmlns="http://schemas.openxmlformats.org/spreadsheetml/2006/main" count="3324" uniqueCount="752">
  <si>
    <t>УТВЕРЖДАЮ</t>
  </si>
  <si>
    <t>Директор Уральского филиала</t>
  </si>
  <si>
    <t>ПАО «ТрансКонтейнер»</t>
  </si>
  <si>
    <t>________________  А.А. Кривошапкин</t>
  </si>
  <si>
    <t>ПРАЙС-ЛИСТ</t>
  </si>
  <si>
    <t xml:space="preserve">на услуги по организации транспортно-экспедиционного обслуживания, предоставляемые  </t>
  </si>
  <si>
    <t>Уральским филиалом ПАО "ТрансКонтейнер" по Контейнерному терминалу Блочная</t>
  </si>
  <si>
    <t xml:space="preserve">действующий с 01 января 2023 года (стоимость в рублях )    </t>
  </si>
  <si>
    <t>№ п/п</t>
  </si>
  <si>
    <t>Код услуги ЕПУ ТК</t>
  </si>
  <si>
    <t>Наименование работ и услуг</t>
  </si>
  <si>
    <t>Единицы измерения</t>
  </si>
  <si>
    <t xml:space="preserve">Типоразмер контейнера </t>
  </si>
  <si>
    <t>Стоимость услуги               (без НДС)</t>
  </si>
  <si>
    <t xml:space="preserve">Стоимость услуги                        с НДС 20% </t>
  </si>
  <si>
    <t>Примечание</t>
  </si>
  <si>
    <t>1. Комплексные транспортно-экспедиционные услуги</t>
  </si>
  <si>
    <t>1.01.</t>
  </si>
  <si>
    <t xml:space="preserve"> Комплексное транспортно-экспедиторское обслуживание на маршруте перевозки. </t>
  </si>
  <si>
    <t>1.01.01.</t>
  </si>
  <si>
    <t>Комплексное транспортно-экспедиторское обслуживание на маршруте перевозки контейнеров/грузов</t>
  </si>
  <si>
    <t>контейнер</t>
  </si>
  <si>
    <t>20 фут</t>
  </si>
  <si>
    <t>Ставка расчётная</t>
  </si>
  <si>
    <t>40 фут,45 фут</t>
  </si>
  <si>
    <t>вагон</t>
  </si>
  <si>
    <t>1.02.</t>
  </si>
  <si>
    <t>Комплексные транспортно-экспедиторские услуги на плечах перевозки</t>
  </si>
  <si>
    <t>1.02.01.</t>
  </si>
  <si>
    <t xml:space="preserve">Организация  перевозки контейнеров/грузов железнодорожным транспортом </t>
  </si>
  <si>
    <t>40 фут, 45 фут</t>
  </si>
  <si>
    <t>1.02.02.</t>
  </si>
  <si>
    <t xml:space="preserve"> Организация перевозки контейнеров/грузов морским (речным) транспортом</t>
  </si>
  <si>
    <t xml:space="preserve">1.02.03. </t>
  </si>
  <si>
    <t>Организация перевозки контейнеров/грузов автомобильным транспортом.</t>
  </si>
  <si>
    <t>Зона 014 (1-14 км)</t>
  </si>
  <si>
    <t xml:space="preserve">20 фут </t>
  </si>
  <si>
    <t xml:space="preserve">Норма времени на загрузку-выгрузку контейнера с момента подачи автомобиля с контейнером 20 фут - 3 часа, 40-фут – 4 часа.      </t>
  </si>
  <si>
    <t>40 фут</t>
  </si>
  <si>
    <t>Зона 024 (15-24 км)</t>
  </si>
  <si>
    <t>Зона 034 (25-34 км)</t>
  </si>
  <si>
    <t>Зона 044 (35-44 км)</t>
  </si>
  <si>
    <t>Зона 054 (45-54 км)</t>
  </si>
  <si>
    <t>Зона 065 (55-65 км)</t>
  </si>
  <si>
    <t>Зона 0100 (66-100 км)</t>
  </si>
  <si>
    <t>Зона 0150 (101-150 км)</t>
  </si>
  <si>
    <t>Зона 0200 (151-200 км)</t>
  </si>
  <si>
    <t>Зона 0250 (201-250 км)</t>
  </si>
  <si>
    <t>Зона 0300 (251-300 км)</t>
  </si>
  <si>
    <t>Зона 0350 (301-350 км)</t>
  </si>
  <si>
    <t>Зона 0400 (351-400 км)</t>
  </si>
  <si>
    <t>Зона 0500 (401-500 км)</t>
  </si>
  <si>
    <t>Зона 004 (1-14 км)</t>
  </si>
  <si>
    <t xml:space="preserve">Забор/сдача порожнего контейнера в депо собственника </t>
  </si>
  <si>
    <t>Зона 000 (0-1 км)</t>
  </si>
  <si>
    <t>Без учета ожидания</t>
  </si>
  <si>
    <t xml:space="preserve">Организация обработки контейнеров/грузов на терминалах/в портах/в депо </t>
  </si>
  <si>
    <t>1.02.05.</t>
  </si>
  <si>
    <t>Организация обработки контейнеров/грузов при мультимодальной перевозке</t>
  </si>
  <si>
    <t>Погрузочно-разгрузочные работы с контейнерами/грузами</t>
  </si>
  <si>
    <t xml:space="preserve">1.02.06. </t>
  </si>
  <si>
    <t>3тн, 5тн</t>
  </si>
  <si>
    <t>с весом брутто не более 24тн</t>
  </si>
  <si>
    <t>с весом брутто более 24тн</t>
  </si>
  <si>
    <t>контейнер иной собственности с весом брутто не более 24тн</t>
  </si>
  <si>
    <t>контейнер иной собственности с весом брутто более 24тн</t>
  </si>
  <si>
    <t>контейнер иной собственности</t>
  </si>
  <si>
    <t>контейнер иной собственности порожний</t>
  </si>
  <si>
    <t xml:space="preserve"> 2. Дополнительные транспортно-экспедиторские услуги.</t>
  </si>
  <si>
    <t>2.01.</t>
  </si>
  <si>
    <t xml:space="preserve"> Оперирование подвижным составом и парком контейнеров</t>
  </si>
  <si>
    <t>2.01.01.</t>
  </si>
  <si>
    <t>Предоставление вагона/контейнера иного собственника для перевозки груза</t>
  </si>
  <si>
    <t>2.01.03.</t>
  </si>
  <si>
    <t>Предоставление вагона/ контейнера для дополнительных операций, связанных с перевозкой грузов/ контейнеров.</t>
  </si>
  <si>
    <t>конт.*сутки</t>
  </si>
  <si>
    <t>расчетная</t>
  </si>
  <si>
    <t>В случае   использования контейнеров собственности железнодорожных администраций стран СНГ ставка пользования контейнером расчитывается в соответствии с Тарифным руководством ОАО "РЖД".</t>
  </si>
  <si>
    <t>ваг*сутки</t>
  </si>
  <si>
    <t>конт*суток</t>
  </si>
  <si>
    <t>Ставка по предоставлению контейнера за первые - десятые сутки, при этом фактический объем услуги определяется исходя из временного интервала оказания услуги, длительность которого исчисляется количеством календарных суток. Неполные сутки свыше 1 (одного)часа округляются до полных.</t>
  </si>
  <si>
    <t>Ставка по предоставлению контейнера  за одиннадцатые - двадцатые сутки, при этом фактический объем услуги определяется исходя из временного интервала оказания услуги, длительность которого исчисляется количеством календарных суток. Неполные сутки свыше 1 (одного)часа округляются до полных.</t>
  </si>
  <si>
    <t>Ставка по предоставлению контейнера  за двадцать первые и последующие сутки, при этом фактический объем услуги определяется исходя из временного интервала оказания услуги, длительность которого исчисляется количеством календарных суток. Неполные сутки свыше 1 (одного)часа округляются до полных.</t>
  </si>
  <si>
    <t xml:space="preserve">вагоно*суток </t>
  </si>
  <si>
    <t xml:space="preserve">  Ставка по предоставлению вагона за первые - пятые сутки, при этом фактический объем услуги определяется исходя из временного интервала оказания услуги, длительность которого исчисляется количеством календарных суток. Неполные сутки свыше 1 (одного)часа округляются до полных.</t>
  </si>
  <si>
    <t xml:space="preserve"> Ставка по  предоставлению вагона за шестые и последующие сутки,при этом фактический объем услуги определяется исходя из временного интервала оказания услуги, длительность которого исчисляется количеством календарных суток. Неполные сутки свыше 1 (одного)часа округляются до полных.</t>
  </si>
  <si>
    <t>2.02.</t>
  </si>
  <si>
    <t>Услуги терминалов, портов, депо:</t>
  </si>
  <si>
    <t>2.02.01.</t>
  </si>
  <si>
    <t xml:space="preserve"> Погрузочно-разгрузочные работы с контейнерами/грузами</t>
  </si>
  <si>
    <t>Дополнительные погрузочно-разгрузочные работы с контейнерами/грузами</t>
  </si>
  <si>
    <t>конт*опер</t>
  </si>
  <si>
    <t>3тн., 5тн</t>
  </si>
  <si>
    <t>20фут</t>
  </si>
  <si>
    <t>40фут, 45 фут</t>
  </si>
  <si>
    <t>порожний</t>
  </si>
  <si>
    <t>Хранение контейнеров/грузов</t>
  </si>
  <si>
    <t>2.02.02.</t>
  </si>
  <si>
    <t>Неполные сутки свыше 1(одного) часа округляются до полных.</t>
  </si>
  <si>
    <t>40фут</t>
  </si>
  <si>
    <t>45фут</t>
  </si>
  <si>
    <t xml:space="preserve">Ставки применяются при хранении порожних контейнеров Клиента на терминале. Неполные сутки свыше 1(одного) часа округляются до полных.  </t>
  </si>
  <si>
    <t xml:space="preserve">Хранение в ЗТК ПАО "ТрансКонтейнер» . Неполные сутки свыше 1 (одного) часа округляются до полных.  </t>
  </si>
  <si>
    <t>2.02.04.</t>
  </si>
  <si>
    <t xml:space="preserve">Предоставление запорно-пломбировочного устройства:                                                                        </t>
  </si>
  <si>
    <t>Предоставление запорно-пломбировочного устройства</t>
  </si>
  <si>
    <t>количество типовое</t>
  </si>
  <si>
    <t>"Клещ-60СЦ", "ЛаВРик"</t>
  </si>
  <si>
    <t>"Спрут-777"</t>
  </si>
  <si>
    <t>Закрутка</t>
  </si>
  <si>
    <t>2.02.05.</t>
  </si>
  <si>
    <t>Дооборудование контейнера</t>
  </si>
  <si>
    <t>Установка вкладыша флекси-танка ( услуга не включает стоимость предоставление флекси-танка и реквизита для его размещения и крепления внутри контейнера)</t>
  </si>
  <si>
    <t>2.02.06</t>
  </si>
  <si>
    <t>Взвешивание контейнера/груза</t>
  </si>
  <si>
    <t>С выдачей сертификата о подтверждении массы брутто контейнера</t>
  </si>
  <si>
    <t>Услуги по обработке грузов, находящихся под таможенным контролем на СВХ (ЗТК)</t>
  </si>
  <si>
    <t>2.02.07.</t>
  </si>
  <si>
    <t>Оформление документов по  процедуре таможенного транзита</t>
  </si>
  <si>
    <t>документ</t>
  </si>
  <si>
    <t>2.02.08.</t>
  </si>
  <si>
    <t>Услуги по обработке таможенных грузов на СВХ (ЗТК)</t>
  </si>
  <si>
    <t xml:space="preserve"> </t>
  </si>
  <si>
    <t>2.02.09.</t>
  </si>
  <si>
    <t>Прием/выдача контейнеров в/из стоках</t>
  </si>
  <si>
    <t>2.02.10.</t>
  </si>
  <si>
    <t>Прочие услуги терминалов/портов/депо</t>
  </si>
  <si>
    <t xml:space="preserve">Услуга применяется при использовании контейнерной площадки для погрузки/выгрузки груза на территории контейнерного терминала. </t>
  </si>
  <si>
    <t>20, 40 фут,  45фут</t>
  </si>
  <si>
    <t>очистка контейнеров</t>
  </si>
  <si>
    <t>Перемещение порожнего контейнера (в т.ч. прр и автотехника).</t>
  </si>
  <si>
    <t>Ставка расчетная</t>
  </si>
  <si>
    <t>Внесение по инициативе грузоотправителя или организации, осуществляющей перевалку грузов, изменений в принятые заявки на перевозки грузов. Расчитывается и взыскивается согласнотарифного руководства №1,2,3 и/или на основании других нормативных документов ОАО"РЖД"</t>
  </si>
  <si>
    <t>2.02.14</t>
  </si>
  <si>
    <t>Крепление/раскрепление грузов</t>
  </si>
  <si>
    <t>оборудование</t>
  </si>
  <si>
    <t>2.03.</t>
  </si>
  <si>
    <t>Платежно-финансовые и прочие экспедиторские услуги:</t>
  </si>
  <si>
    <t>19</t>
  </si>
  <si>
    <t>2.03.04</t>
  </si>
  <si>
    <t>Организация переадресовки грузов</t>
  </si>
  <si>
    <t>вагон/конт</t>
  </si>
  <si>
    <t>На основании нормативных документов ОАО "РЖД"</t>
  </si>
  <si>
    <t>2.03.05.</t>
  </si>
  <si>
    <t>Осуществление расчетных операций за сопровождение и охрану груза в пути следования железнодорожным транспортом</t>
  </si>
  <si>
    <t>2.03.06.</t>
  </si>
  <si>
    <t>Осуществление расчетных операций за нахождение вагонов на железнодорожных путях</t>
  </si>
  <si>
    <t xml:space="preserve">                                                                       Прочие  платежно-финансовые и иные экспедиторские услуги </t>
  </si>
  <si>
    <t>2.03.08</t>
  </si>
  <si>
    <t xml:space="preserve">Прочие  платежно-финансовые и иные экспедиторские услуги </t>
  </si>
  <si>
    <t>все типы</t>
  </si>
  <si>
    <t>Сбор за непредъявление грузов на указанную в заявке станцию назначения. На основании нормативных документов ОАО "РЖД"</t>
  </si>
  <si>
    <t xml:space="preserve">Выдача справок о стоимости услуг </t>
  </si>
  <si>
    <t>Комплексная очистка контейнера-цистерны с использованием химических реагентов. Продукты первой категории сложности</t>
  </si>
  <si>
    <t>Удаление (утилизация) из  контейнера-цистерны остатков груза. Продукты первой категории сложности</t>
  </si>
  <si>
    <t>2.03.09</t>
  </si>
  <si>
    <t>Оформление за Клиента в информационных системах заказа на транспортно-экспедиторские услуги</t>
  </si>
  <si>
    <t>2.04.</t>
  </si>
  <si>
    <t>Автотранспортные услуги</t>
  </si>
  <si>
    <t>2.04.01.</t>
  </si>
  <si>
    <t>Работа автомобиля сверх норматива.</t>
  </si>
  <si>
    <t>конт.*часов</t>
  </si>
  <si>
    <t xml:space="preserve"> Простой автотранспорта сверх нормы до 15 минут не учитывается, свыше 15 минут взыскивается как за полный  час.</t>
  </si>
  <si>
    <t>2.04.02</t>
  </si>
  <si>
    <t>Пользование полуприцепом сверх норматива</t>
  </si>
  <si>
    <t>20, 40 фут</t>
  </si>
  <si>
    <t>Согласовано:</t>
  </si>
  <si>
    <t xml:space="preserve">Заместитель директора филиала по продажам и коммерции </t>
  </si>
  <si>
    <t>С.В. Казакова</t>
  </si>
  <si>
    <t>Начальник отдела логистики</t>
  </si>
  <si>
    <t>Н.В. Буиклы</t>
  </si>
  <si>
    <t>Начальник планово - экономического отдела</t>
  </si>
  <si>
    <t>Н.Б Можарова</t>
  </si>
  <si>
    <t xml:space="preserve">Начальник  контейнерного терминала Блочная </t>
  </si>
  <si>
    <t xml:space="preserve">П.В. Галкин </t>
  </si>
  <si>
    <t>на услуги по организации транспортно-экспедиционного обслуживания, предоставляемые</t>
  </si>
  <si>
    <t xml:space="preserve"> Уральским филиалом ПАО "ТрансКонтейнер по Агентству на ст. Войновка</t>
  </si>
  <si>
    <t>1</t>
  </si>
  <si>
    <t>Рассчитывается согласно указанной в Заказе информации на перевозку и зависит от направления, расстояния перевозки и  грузоподъемности контейнера, а также включает в себя услуги из раздела 1.02.01 - 1.02.05</t>
  </si>
  <si>
    <t>2</t>
  </si>
  <si>
    <t>Организация  перевозки контейнеров/грузов железнодорожным транспортом</t>
  </si>
  <si>
    <t>Рассчитывается согласно указанной в Заказе информации на перевозку и зависит от направления, расстояния перевозки и  грузоподъемности контейнера.</t>
  </si>
  <si>
    <t>3</t>
  </si>
  <si>
    <t>4</t>
  </si>
  <si>
    <t>1.02.03</t>
  </si>
  <si>
    <t>1 зона  (1-10 км)</t>
  </si>
  <si>
    <t>2 зона  (11-25 км)</t>
  </si>
  <si>
    <t>3 зона (26-50 км)</t>
  </si>
  <si>
    <t>4 зона (51-100 км)</t>
  </si>
  <si>
    <t>5 зона (101-150 км)</t>
  </si>
  <si>
    <t>6 зона (151-200 км)</t>
  </si>
  <si>
    <t>7 зона (201-250 км)</t>
  </si>
  <si>
    <t>8 зона (251-300 км)</t>
  </si>
  <si>
    <t>9 зона (301-350 км)</t>
  </si>
  <si>
    <t>10 зона (351-400 км)</t>
  </si>
  <si>
    <t>11 зона(401-450 км)</t>
  </si>
  <si>
    <t>12 зона(451-650 км)</t>
  </si>
  <si>
    <t>1.02.04.</t>
  </si>
  <si>
    <t>Организация обработки контейнеров/грузов на терминалах/в портах/в депо</t>
  </si>
  <si>
    <t>Организация обработки контейнеров/грузов на терминалах/в портах/в депо (контейнер ПАО "ТрансКонтейнер")</t>
  </si>
  <si>
    <t>вес брутто не более 24т</t>
  </si>
  <si>
    <t>вес брутто более 24т</t>
  </si>
  <si>
    <t>Организация обработки контейнеров/грузов на терминалах/в портах/в депо (контейнер иной собственности)</t>
  </si>
  <si>
    <t>7</t>
  </si>
  <si>
    <t>2.01.01</t>
  </si>
  <si>
    <t>8</t>
  </si>
  <si>
    <t xml:space="preserve">40 фут </t>
  </si>
  <si>
    <t>вагон.*сутки</t>
  </si>
  <si>
    <t>Ставка по предоставлению вагона за первые - пятые сутки, при этом фактический объем услуги определяется исходя из временного интервала оказания услуги, длительность которого исчисляется количеством календарных суток. Неполные сутки свыше 1 (одного)часа округляются до полных.</t>
  </si>
  <si>
    <t>Погрузо-разгрузочные работы с контейнерами/грузами.</t>
  </si>
  <si>
    <r>
      <t xml:space="preserve">Дополнительные погрузочно-разгрузочные работы с </t>
    </r>
    <r>
      <rPr>
        <u val="single"/>
        <sz val="12"/>
        <rFont val="Times New Roman"/>
        <family val="1"/>
      </rPr>
      <t>гружеными</t>
    </r>
    <r>
      <rPr>
        <sz val="12"/>
        <rFont val="Times New Roman"/>
        <family val="1"/>
      </rPr>
      <t xml:space="preserve"> контейнерами, выполняемые РЖД при отправлении /прибытии(вес брутто до 24 тонн)</t>
    </r>
  </si>
  <si>
    <t>контейнеро*операция</t>
  </si>
  <si>
    <t>20 фут.</t>
  </si>
  <si>
    <t>Ставка за 1контейнеро-операцию погрузочно-разгрузочных работ КТК 20 фут. до 24 тн. (брутто не выше 24тн) - применяется, в том числе и на груженые контейнеры 20 ф. до 30тн фактический вес брутто которых не превышает 24тн.</t>
  </si>
  <si>
    <r>
      <t xml:space="preserve">Дополнительные погрузочно-разгрузочные работы с </t>
    </r>
    <r>
      <rPr>
        <u val="single"/>
        <sz val="12"/>
        <rFont val="Times New Roman"/>
        <family val="1"/>
      </rPr>
      <t>гружеными</t>
    </r>
    <r>
      <rPr>
        <sz val="12"/>
        <rFont val="Times New Roman"/>
        <family val="1"/>
      </rPr>
      <t xml:space="preserve"> контейнерами, выполняемые РЖД при отправлении /прибытии(вес брутто свыше 24 тонн)</t>
    </r>
  </si>
  <si>
    <r>
      <t xml:space="preserve">Дополнительные погрузочно-разгрузочные работы с </t>
    </r>
    <r>
      <rPr>
        <u val="single"/>
        <sz val="12"/>
        <rFont val="Times New Roman"/>
        <family val="1"/>
      </rPr>
      <t>порожними</t>
    </r>
    <r>
      <rPr>
        <sz val="12"/>
        <rFont val="Times New Roman"/>
        <family val="1"/>
      </rPr>
      <t xml:space="preserve"> контейнерами, выполняемые РЖД при отправлении/прибытии</t>
    </r>
  </si>
  <si>
    <r>
      <t xml:space="preserve">Дополнительные погрузочно-разгрузочные работы с </t>
    </r>
    <r>
      <rPr>
        <u val="single"/>
        <sz val="12"/>
        <rFont val="Times New Roman"/>
        <family val="1"/>
      </rPr>
      <t xml:space="preserve">гружеными </t>
    </r>
    <r>
      <rPr>
        <sz val="12"/>
        <rFont val="Times New Roman"/>
        <family val="1"/>
      </rPr>
      <t>контейнерами, выполняемые РЖД при отправлении/прибытии</t>
    </r>
  </si>
  <si>
    <t>Хранение груза/контейнеров на контейнерном терминале РЖД и иных собственников по отправлению/прибытию</t>
  </si>
  <si>
    <t>контейнеро*суток</t>
  </si>
  <si>
    <t xml:space="preserve">Предоставление запорно-пломбировочного устройства    </t>
  </si>
  <si>
    <t>количество (типовое)</t>
  </si>
  <si>
    <t>все типы контейнеров</t>
  </si>
  <si>
    <t xml:space="preserve"> "Клещ-60СЦ", ЛаВРик</t>
  </si>
  <si>
    <t>2.03.04.</t>
  </si>
  <si>
    <t>на основании протокола правления ОАО РЖД от 29.12.2017 №69 Тел. от 12.01.2018 № 179/СВР ТЦФТО (телеграф. № 625 от 16.01.2018)</t>
  </si>
  <si>
    <t xml:space="preserve">расчетная </t>
  </si>
  <si>
    <t>в зависимости от рода груза и количества контейнеров/вагонов в охраняемой группе</t>
  </si>
  <si>
    <t>Прочие платежно-финансовые и иные экспедиторские услуги</t>
  </si>
  <si>
    <t>2.03.08.</t>
  </si>
  <si>
    <t>документ(ов)</t>
  </si>
  <si>
    <t xml:space="preserve">20 фут., 40 фут </t>
  </si>
  <si>
    <t>Внесение по инициативе грузоотправителя или организации, осуществляющей перевалку грузов, изменений в принятые заявки на перевозки грузовРассчитываетя и взыскивается согласно тарифным руководствам  №1,2,3 или на основании других нормативных документов ОАО "РЖД.</t>
  </si>
  <si>
    <t>20 фут.,40 фут</t>
  </si>
  <si>
    <t>Сбор за непредъявление грузов на указанную в заявке станцию назначения ;</t>
  </si>
  <si>
    <t>20 фут., 40 фут</t>
  </si>
  <si>
    <t xml:space="preserve">выдача справок о стоимости услуг </t>
  </si>
  <si>
    <t>2.03.09.</t>
  </si>
  <si>
    <t>заказ</t>
  </si>
  <si>
    <t>Работа автомобиля сверх норматива при завозе/вывозе</t>
  </si>
  <si>
    <t>конт*час</t>
  </si>
  <si>
    <t>простой авомобиля свыше 15 минут округляется до целого часа</t>
  </si>
  <si>
    <t>Согласовано :</t>
  </si>
  <si>
    <t>Начальник Агентства на станции Войновка</t>
  </si>
  <si>
    <t>О.А. Намятова</t>
  </si>
  <si>
    <t xml:space="preserve">на услуги по организации транспортно-экспедиционного обслуживания, предоставляемые Уральским филиалом </t>
  </si>
  <si>
    <t xml:space="preserve">ПАО "ТрансКонтейнер" по Контейнерному терминалу Курган </t>
  </si>
  <si>
    <t xml:space="preserve"> Комплексное транспортно-экспедиторское обслуживание на маршруте перевозки контейнеров/грузов.</t>
  </si>
  <si>
    <t>Рассчитывается согласно указанной в Заказе информации на перевозку и зависит от направления, расстояния перевозки, грузоподъемности контейнера, стоимости груза и иных условий перевозки и включает в себя услуги разделов 1.02.01 - 1.02.05</t>
  </si>
  <si>
    <t>Рассчитывается согласно указанной в Заказе информации на перевозку и зависит от направления, расстояния перевозки, грузоподъемности контейнера, стоимости груза и иных условий перевозки</t>
  </si>
  <si>
    <t>Зона №1 (расстояние от 0 до 5 км)</t>
  </si>
  <si>
    <t>Зона № 2 (расстояние от 6 до 10 км)</t>
  </si>
  <si>
    <t>Зона № 3 (расстояние от 11 до 15 км)</t>
  </si>
  <si>
    <t>Зона № 4 (расстояние от 16 до 20 км)</t>
  </si>
  <si>
    <t>Зона №5 (расстояние от 21 до 25 км)</t>
  </si>
  <si>
    <t>Зона № 6 (расстояние от 26 до 30 км)</t>
  </si>
  <si>
    <t>Зона № 7 (расстояние от 31 до 75 км)</t>
  </si>
  <si>
    <t>Зона № 8 (расстояние от 76 до 120 км)</t>
  </si>
  <si>
    <t>Зона № 9 (расстояние от 121 до 160 км)</t>
  </si>
  <si>
    <t>Зона № 10 (расстояние от 161 до 200 км)</t>
  </si>
  <si>
    <t>Зона № 11 (расстояние от 201 до 240 км)</t>
  </si>
  <si>
    <t>Зона № 12 (расстояние от 241 до 300 км)</t>
  </si>
  <si>
    <t>Зона № 13 (расстояние от 301 до 350 км)</t>
  </si>
  <si>
    <t>Зона № 14 (расстояние от 351 до 400 км)</t>
  </si>
  <si>
    <t>5</t>
  </si>
  <si>
    <t>Вес брутто до 24 тн</t>
  </si>
  <si>
    <t>Вес брутто более 24 тн</t>
  </si>
  <si>
    <t xml:space="preserve"> для порожних контейнеров</t>
  </si>
  <si>
    <t>6</t>
  </si>
  <si>
    <t>300,00</t>
  </si>
  <si>
    <t>600,00</t>
  </si>
  <si>
    <t>Ставка по предоставлению контейнера за одиннадцатые - двадцатые сутки, при этом фактический объем услуги определяется исходя из временного интервала оказания услуги, длительность которого исчисляется количеством календарных суток. Неполные сутки свыше 1 (одного)часа округляются до полных.</t>
  </si>
  <si>
    <t>1000,00</t>
  </si>
  <si>
    <t>Ставка по предоставлению контейнера за двадцать первые и последующие сутки, при этом фактический объем услуги определяется исходя из временного интервала оказания услуги, длительность которого исчисляется количеством календарных суток. Неполные сутки свыше 1 (одного)часа округляются до полных.</t>
  </si>
  <si>
    <t>40 фут.</t>
  </si>
  <si>
    <t>500,00</t>
  </si>
  <si>
    <t>750</t>
  </si>
  <si>
    <t>2.01.04</t>
  </si>
  <si>
    <t>Прочие услуги, связанные с оперированием</t>
  </si>
  <si>
    <t xml:space="preserve">Дополнительные погрузочно-разгрузочные работы с гружеными контейнерами/грузами  </t>
  </si>
  <si>
    <t xml:space="preserve">Вес брутто до 24 тн.  Ставка за 1контейнеро-операцию погрузочно-разгрузочных работ КТК 20 фут. до 24 тн. (брутто не выше 24тн) - применяется, в том числе и на груженые контейнеры 20 ф. до 30тн фактический вес брутто которого не превышает 24тн.     </t>
  </si>
  <si>
    <t xml:space="preserve"> Дополнительные погрузочно-разгрузочные работы с гружеными контейнерами/грузами  (вес брутто свыше 24 тн)</t>
  </si>
  <si>
    <t>Вес брутто свыше 24 тн</t>
  </si>
  <si>
    <t xml:space="preserve">Дополнительные погрузочно-разгрузочные работы с порожними контейнерами/грузами </t>
  </si>
  <si>
    <t xml:space="preserve">Дополнительные погрузочно-разгрузочные работы с гружеными контейнерами/грузами </t>
  </si>
  <si>
    <t>Хранение на открытой площадке</t>
  </si>
  <si>
    <t>20 фут, СТК</t>
  </si>
  <si>
    <t>Услуга начисляется в случае хранения порожних контейнеров Клиента. Неполные сутки  свыше 1 (одного) часа округляются до полных.</t>
  </si>
  <si>
    <t>Хранение на СВХ/ЗТК</t>
  </si>
  <si>
    <t>СТК</t>
  </si>
  <si>
    <t>Оплачиваемое  время нахождения контейнера  на ВЗТК ПАО "ТрансКонтейнер»  исчисляется  с ноля часов дня следующего за днем завершения ТПТТ таможенным органом до момента предьявления Клиентом перевозочных  документов  с отметкой о выпуске товара. В случае направления товара на иное СВХ оплачиваемое время исчисляется  с ноля часов дня следующего за днем завершения ТПТТ таможенным органом до момента вывоза  контейнера с Контейнерного терминала. Неполные сутки свыше 1 (одного) часа округляются до полных.</t>
  </si>
  <si>
    <t>Ставки применяются при хранении грузов/контейнеров в следующих случаях: - по прибытию после истечения срока бесплатного хранения, установленного Уставом ЖДТ РФ.  - по отправлению при завозе груза/контейнера ранее  назначенного дня погрузки.  Начисления производятся с момента фактического завоза груза/контейнера на терминал до момента приема груза/контейнера  к перевозке,  а также после выпуска товара в свободное обращение по предъявлению Клиентом оригинала железнодорожной накладной и Декларации на товар с отметкой таможенного органа  "Выпуск разрешен".                                                                                Неполные сутки свыше 1 (одного) часа округляются до полных.</t>
  </si>
  <si>
    <t xml:space="preserve"> Услуга начисляется в случае хранения порожних контейнеров Клиента. Неполные сутки  свыше 1 (одного) часа округляются до полных.</t>
  </si>
  <si>
    <t>Оплачиваемое  время нахождения контейнера  на СВХ/ВЗТК ПАО "ТрансКонтейнер»  исчисляется  с ноля часов дня следующего за днем завершения ТПТТ таможенным органом до 24 часов дня предъявления Клиентом перевозочных  документов  с отметкой о выпуске товара.
В случае направления товара на иное оплачиваемое время исчисляется  с ноля часов дня следующего за днем завершения ТПТТ таможенным органом до до 24 часов дня вывоза контейнера с Контейнерного терминала. Неполные сутки свыше 1 (одного) часа округляются до полных.</t>
  </si>
  <si>
    <t xml:space="preserve">Хранение на открытой площадке </t>
  </si>
  <si>
    <t xml:space="preserve">  Услуга начисляется за фактическое время нахождения контейнера  на  сторонних терминалах портов, рассчитывается по ставкам соисполнителей.</t>
  </si>
  <si>
    <t>"Клещ-60СЦ", "ЛаВРик",</t>
  </si>
  <si>
    <t>"Закрутка"</t>
  </si>
  <si>
    <t xml:space="preserve">Установка щита заграждения  </t>
  </si>
  <si>
    <t>Оформление документов по открытию/закрытию процедуры таможенного транзита</t>
  </si>
  <si>
    <t>2.02.08</t>
  </si>
  <si>
    <t>Доставка документов в таможенные органы</t>
  </si>
  <si>
    <t xml:space="preserve"> Прочие услуги терминалов/портов/депо;</t>
  </si>
  <si>
    <t>Отправление документов заказной корреспонденцией по просьбе Заказчика 1 конверт почтой России</t>
  </si>
  <si>
    <t>20ф</t>
  </si>
  <si>
    <t>Очистка контейнера</t>
  </si>
  <si>
    <t>40ф</t>
  </si>
  <si>
    <t>отправка экспресс - почты</t>
  </si>
  <si>
    <t>17</t>
  </si>
  <si>
    <t>2.03.01.</t>
  </si>
  <si>
    <t>Организация перевозки груза на особых условиях</t>
  </si>
  <si>
    <t>18</t>
  </si>
  <si>
    <t>2.03.03.</t>
  </si>
  <si>
    <t>Организация подачи/уборки вагонов</t>
  </si>
  <si>
    <t>Организация переадресовки груза</t>
  </si>
  <si>
    <t>Стоимость услуги рассчитывается и взыскивается согласно нормативных документов ОАО "РЖД"</t>
  </si>
  <si>
    <t>2.03.07</t>
  </si>
  <si>
    <t>Разработка и/или согласование схем, эскизов, чертежей погрузки груза (Эскиз)</t>
  </si>
  <si>
    <t>Эскиз</t>
  </si>
  <si>
    <t xml:space="preserve"> Прочие платежно-финансовые и иные экспедиторские услуги.</t>
  </si>
  <si>
    <t xml:space="preserve"> Оформление за Клиента в информационных системах заказа на транспортно-экспедиторские услуги.</t>
  </si>
  <si>
    <t>-</t>
  </si>
  <si>
    <t xml:space="preserve"> Простой автотранспорта сверх нормы до 15 мин не учитывается, свыше 15 минут взыскивается как за полный  час</t>
  </si>
  <si>
    <t>2.04.02.</t>
  </si>
  <si>
    <t>При оказании услуги по завозу/вывозу с отцепом на складе грузополучателя/грузоотправителя плата за пользование полуприцепом начисляется с момента окончания норм времени на погрузку/выгрузку груза на складе Клиента до момента уведомления ТрансКонтейнер по телефону 8(3522) 49-78-74 о завершении погрузки/выгрузки</t>
  </si>
  <si>
    <t>Начальник Контейнерного терминала Курган</t>
  </si>
  <si>
    <t>А.В. Дудин</t>
  </si>
  <si>
    <t>на услуги по организации транспортно-экспедиционного обслуживания, предоставляемые Уральским филиалом</t>
  </si>
  <si>
    <t xml:space="preserve">ПАО "ТрансКонтейнер"по Контейнерному терминалу Магнитогорск - Грузовой </t>
  </si>
  <si>
    <t>Рассчитывается согласно указанной в Заказе информации на перевозку и зависит от направления, расстояния перевозки и грузоподъемности контейнера и включает в себя услуги разделов 1.02.01 - 1.02.06</t>
  </si>
  <si>
    <t>Организация перевозки  контейнеров/грузов железнодорожным транспортом</t>
  </si>
  <si>
    <t>Рассчитывается согласно указанной в Заказе информации на перевозку и зависит от направления, расстояния перевозки и грузоподъемности контейнера.</t>
  </si>
  <si>
    <t>Зона 0 (расстояние от 0 до 2км)</t>
  </si>
  <si>
    <t>Зона № 1 (расстояние от 3 до 5 км)</t>
  </si>
  <si>
    <t>Зона № 2 (расстояние от 6 до 10км)</t>
  </si>
  <si>
    <t>Зона № 3 (расстояние от11 до 15км)</t>
  </si>
  <si>
    <t>Зона № 4 (расстояние от16 до 20 км)</t>
  </si>
  <si>
    <t>Зона № 5 (расстояние от 21 до 25 км)</t>
  </si>
  <si>
    <t>Зона № 7 (расстояние от 31 до 35 км)</t>
  </si>
  <si>
    <t>Зона № 8 (расстояние от 36 до 40 км)</t>
  </si>
  <si>
    <t>Зона № 9 (расстояние от 41до 45 км)</t>
  </si>
  <si>
    <t>Зона №10 (расстояние от 46 до 50 км)</t>
  </si>
  <si>
    <t>Зона №11 (расстояние от 51до100 км)</t>
  </si>
  <si>
    <t>Зона №12 (расстояние от 101до 125 км)</t>
  </si>
  <si>
    <t>Зона №13 (расстояние от126до150 км)</t>
  </si>
  <si>
    <t>Зона №14 (расстояние от 151 до 200 км)</t>
  </si>
  <si>
    <t>Зона №15 (расстояние от 201до 250 км)</t>
  </si>
  <si>
    <t>Зона №16 (расстояние от 251до3 50 км)</t>
  </si>
  <si>
    <t>неконтейнерные грузы</t>
  </si>
  <si>
    <t>Зона №10 (расстояние от 46до 50 км)</t>
  </si>
  <si>
    <t>1.02.06</t>
  </si>
  <si>
    <t xml:space="preserve">Погрузочно-разгрузочные работы с контейнерами/грузами </t>
  </si>
  <si>
    <t>Погрузочно-разгрузочные работы с контейнерами/грузами собственности ПАО "ТрансКонтейнер"</t>
  </si>
  <si>
    <t xml:space="preserve">Погрузочно-разгрузочные работы с контейнерами/грузами иной собственности </t>
  </si>
  <si>
    <t>для порожних контейнеров</t>
  </si>
  <si>
    <t>Ставка по  предоставлению вагона за шестые и последующие сутки,при этом фактический объем услуги определяется исходя из временного интервала оказания услуги, длительность которого исчисляется количеством календарных суток. Неполные сутки свыше 1 (одного)часа округляются до полных.</t>
  </si>
  <si>
    <t>9</t>
  </si>
  <si>
    <t>При фактической массе брутто контейнера свыше 24 тонн применяется ставка сбора, установленная для контейнеров размером 40 футов и массой брутто свыше 30 тонн. При переработке 20*фут. контейнеров в порожнем состоянии применяется ставка сбора, установленная для порожних 20*фут. контейнеров массой брутто свыше 10т до 24т.</t>
  </si>
  <si>
    <t>Дополнительные погрузочно-разгрузочные работы с гружеными контейнерами/грузами  (вес брутто до 24 тн)</t>
  </si>
  <si>
    <t>Применяется для приема/выдачи порожних контейнеров в/из стока на терминале ТрансКонтейнер</t>
  </si>
  <si>
    <t xml:space="preserve">Ставки применяются при хранении грузов/контейнеров по прибытию после истечения срока бесплатного хранения, установленного Уставом ЖДТ РФ, а также  по отправлению при завозе груза/контейнера ранее  назначенного дня погрузки. Начисления производятся с момента фактического завоза груза/контейнера на терминал до момента приема груза/контейнера  к перевозке в день, согласованный в заказе.                                                                                   * Неполные сутки (свыше 1 часа) округляются до полных.                               </t>
  </si>
  <si>
    <t>Хранение на СВХ</t>
  </si>
  <si>
    <t>Услуги взыскиваются за фактическое время нахождения контейнера на СВХ/ЗТК. Стоимость за услугу начисляется с момента помещения товара на СВХ до момента предъявления Клиентом перевозочных документов с отметкой о выпуске товара (согласно данным складских квитанций).  *Неполные сутки свыше 1(одного) часа, округляются до полных.</t>
  </si>
  <si>
    <t>С подключением к электропитанию</t>
  </si>
  <si>
    <t xml:space="preserve">Услуги взыскиваются за фактическое время нахождения контейнера на СВХ/ЗТК. Стоимость за услугу начисляется с момента помещения товара на СВХ до момента предъявления Клиентом перевозочных документов с отметкой о выпуске товара (согласно данным складских квитанций). *Неполные сутки свыше 1(одного) часа, округляются до полных. </t>
  </si>
  <si>
    <t xml:space="preserve">Услуги взыскиваются за фактическое время нахождения контейнера на СВХ/ЗТК. Стоимость за услугу начисляется с момента помещения товара на СВХ до момента предъявления Клиентом перевозочных документов с отметкой о выпуске товара (согласно данным складских квитанций) </t>
  </si>
  <si>
    <t>45 фут</t>
  </si>
  <si>
    <t>Ставки применяются при хранении порожних контейнеров иной собственности клиента, неполные сутки свыше 1 (одного) часа округляются до полных.</t>
  </si>
  <si>
    <t>тонно*сутки</t>
  </si>
  <si>
    <t>Хранение грузов в крытом складе/на открытой площадке Не полные сутки (свыше 1 часа) округляются до полных. Не полные тонны округляются до полных.</t>
  </si>
  <si>
    <t xml:space="preserve">Хранение контейнеров/грузов СВХ </t>
  </si>
  <si>
    <t>2.02.03</t>
  </si>
  <si>
    <t>Погрузка/выгрузка груза</t>
  </si>
  <si>
    <t>контейнер, вагон</t>
  </si>
  <si>
    <t>час</t>
  </si>
  <si>
    <t>Применяется при предоставлении погрузчика на 1 час.</t>
  </si>
  <si>
    <t xml:space="preserve"> контейнер, вагон</t>
  </si>
  <si>
    <t>тонна</t>
  </si>
  <si>
    <t xml:space="preserve"> Предоставление вилочного погрузчика  и переработка груза козловым краном при повагонных и контейнерных  перевозках.  Неполные тонны округляются до полных.                 </t>
  </si>
  <si>
    <t>чел-час</t>
  </si>
  <si>
    <t>Ставка применяется при погрузке/выгрузке груза силами ТрансКонтейнер, рассчитана с учетом работы одного человека.</t>
  </si>
  <si>
    <t>"Клещ-60СЦ"  "ЛаВРик"</t>
  </si>
  <si>
    <t xml:space="preserve">Установка щита заграждения </t>
  </si>
  <si>
    <t>Подготовка контейнера под погрузку. Услуга применяется при подготовке контейнера в противопожарном отношении; подбора/ подготовки/ дооборудования контейнера для перевозки определенной номенклатуры грузов;  при определении соответствия контейнера иной собственности требованиям ASEP</t>
  </si>
  <si>
    <t>Взвешивание груза.</t>
  </si>
  <si>
    <t xml:space="preserve"> При организации взвешивания на товарных весах (вес одного места не более 5 тонн). Неполная тонна округляется до полной.</t>
  </si>
  <si>
    <t>2.02.10</t>
  </si>
  <si>
    <t>Услуга применяется при использовании контейнерной площадки для погрузки/выгрузки груза на территории контейнерного терминала.</t>
  </si>
  <si>
    <t xml:space="preserve"> Услуга применяется  при очистке контейнера от остатков ранее перевозимого груза.</t>
  </si>
  <si>
    <t>отправка экспресс-почты</t>
  </si>
  <si>
    <t>2.02.14.</t>
  </si>
  <si>
    <t xml:space="preserve">Крепление/раскрепления грузов </t>
  </si>
  <si>
    <t>прочие грузы</t>
  </si>
  <si>
    <t>Крепление груза</t>
  </si>
  <si>
    <t>Стоимость указана для услуги крепления груза в контейнере.                                                        Услуга также используется при погрузке автотранспортных средств.</t>
  </si>
  <si>
    <t>Раскрепление груза</t>
  </si>
  <si>
    <t>Применяется при раскреплении всех видов грузов</t>
  </si>
  <si>
    <t>20</t>
  </si>
  <si>
    <t>Взыскивается на основании нормативных документов ОАО "РЖД"</t>
  </si>
  <si>
    <t>21</t>
  </si>
  <si>
    <t>2.03.07.</t>
  </si>
  <si>
    <t>Разработка и/или согласование схем, эскизов, чертежей погрузки груза</t>
  </si>
  <si>
    <t>Разработка и/или согласование схем, эскизов, чертежей погрузки груза (эскиз)</t>
  </si>
  <si>
    <t>за 1 эскиз</t>
  </si>
  <si>
    <t xml:space="preserve"> Простой автотранспорта сверх нормы до 15 мин не учитываются, свыше 15 минут взыскивается как за полный  час</t>
  </si>
  <si>
    <t>Начальник Контейнерного терминала Магнитогорск-Грузовой</t>
  </si>
  <si>
    <t>И.Н. Авраменко</t>
  </si>
  <si>
    <t xml:space="preserve">ПАО "ТрансКонтейнер" по  Агентству на станции Оренбург </t>
  </si>
  <si>
    <t>Зона № 3 (расстояние от 11 до 15км)</t>
  </si>
  <si>
    <t>Зона №5 (расстояние от 21 до 25км)</t>
  </si>
  <si>
    <t>Зона № 6 (расстояние от 26 до 30км)</t>
  </si>
  <si>
    <t>Зона № 8 (расстояние от 36 до 40км)</t>
  </si>
  <si>
    <t>Зона № 9 (расстояние от 41 до 45 км)</t>
  </si>
  <si>
    <t>Организация обработки контейнеров/грузов</t>
  </si>
  <si>
    <t xml:space="preserve">В случае   использования контейнеров собственности железнодорожных администраций стран СНГ ставка пользования контейнером расчитывается в соответствии с Тарифным руководством ОАО "РЖД".
</t>
  </si>
  <si>
    <t>40фут.</t>
  </si>
  <si>
    <t>2.01.04.</t>
  </si>
  <si>
    <t xml:space="preserve"> Дополнительные погрузочно-разгрузочные работы с гружеными контейнерами/грузами</t>
  </si>
  <si>
    <t>Ставка за 1контейнеро-операцию погрузочно-разгрузочных работ КТК 20фут. до 30 тн. (брутто выше 24тн) - применяется на груженые контейнеры 20 фут. 30 тн, фактический вес брутто которых превышает 24тн.</t>
  </si>
  <si>
    <t>Дополнительные погрузочно-разгрузочные работы с гружеными контейнерами/грузами</t>
  </si>
  <si>
    <t>Ставки применяются при хранении грузов/контейнеров в следующих случаях: - по прибытию после истечения срока бесплатного хранения, установленного Уставом ЖДТ РФ; - по отправлению при завозе груза/контейнера ранее назначенного дня погрузки. Сбор начисляется с момента фактического завоза груза/контейнера на терминал до момента приема груза/контейнера  к перевозке, а также после выпуска товара в свободное обращение с ноля часов дня, следующего за предъявлением Клиентом перевозочного документа с отметкой таможенного органа "Выпуск разрешен". Неполные сутки свыше 1(одного) часа округляются до полных.</t>
  </si>
  <si>
    <t>2.02.03.</t>
  </si>
  <si>
    <t>тонн рассчетных</t>
  </si>
  <si>
    <t>Применяется при использовании погрузчика для погрузки/выгрузки пакетированных грузов механическим способом без подсортировки, масса 1 места до 50кг</t>
  </si>
  <si>
    <t>Клещ-60СЦ , ЛаВРик</t>
  </si>
  <si>
    <t xml:space="preserve">Прочие услуги терминалов/портов/депо </t>
  </si>
  <si>
    <t>Отправление документов заказной корреспонденцией по просьбе Заказчика 1 конверт почтой России.</t>
  </si>
  <si>
    <t>Отправка экспресс-почты.</t>
  </si>
  <si>
    <t>15</t>
  </si>
  <si>
    <t>Рассчитывается  и взыскивается  на основании нормативных документов ОАО "РЖД".</t>
  </si>
  <si>
    <t>Услуга применяется за разработку эскиза</t>
  </si>
  <si>
    <t>Работа автомобиля сверх норматива</t>
  </si>
  <si>
    <t>Простой автотранспорта сверх нормы до 15 минут не учитывается, свыше 15 минут взыскивается как за полный  час.</t>
  </si>
  <si>
    <t>Заместитель директора филиала  по продажам и коммерции</t>
  </si>
  <si>
    <t>Н.Б. Можарова</t>
  </si>
  <si>
    <t>А.В. Гайовец</t>
  </si>
  <si>
    <t>Начальник Агентства на станции Оренбург</t>
  </si>
  <si>
    <t>В.А. Ворожейкина</t>
  </si>
  <si>
    <t xml:space="preserve">Уральским филиалом ПАО "ТрансКонтейнер" по  Контейнерному терминалу Челябинск - Грузовой </t>
  </si>
  <si>
    <t>Организация  железнодорожной   перевозки контейнеров/грузов железнодорожным транспортом</t>
  </si>
  <si>
    <t>Зона № 0 (расстояние от 0 до 1км)</t>
  </si>
  <si>
    <t>Зона №1 (расстояние от 1 до 5км)</t>
  </si>
  <si>
    <t>Перевозка порожних контейнеров  собственности  Клиента.</t>
  </si>
  <si>
    <t>Ставки на услуги  указаны с учетом  времени погрузки и выгрузки контейнеров Клиентом, не превышающим:  20 фут - 3 часа, 40-фут – 4 часа. При перевозке с отцепом на складе грузополучателя/грузоотправителя к ставкам организации перевозки автомобильным транспортом дополнительно взыскивается плата за пользование полуприцепом за фактическое время нахождения полуприцепа с контейнером под погрузкой/выгрузкой с момента окончания норм времени на погрузку/выгрузку груза на складе Клиента до момента передачи уведомления  о завершении погрузки/выгрузки (услуга 2.04.02).    При перевозке "со снятием"/холостой пробег (в случае отказа от погрузки/погрузки) на складе Клиента взыскивается как дополнительный рейс.                                                                                                             Зональность автоперевозки определяется "Списком расстояний по зонам до клиентов от Контейнерного терминала Челябинск-Грузовой".                                                                                  При перевозке грузов под таможенным контролем с выездом в зону другого таможенного поста, ставка увеличивается на размер простоя автотранспорта в ожидании оформления таможенных документов. Ограничение по весу: для 20- футовых контейнеров до 28 тонн брутто,  для 40- футовых контейнеров до 30 тонн брутто.</t>
  </si>
  <si>
    <t>Зона № 10 (расстояние от 46 до 55км)</t>
  </si>
  <si>
    <t>Зона № 11 (расстояние от 56 до 65км)</t>
  </si>
  <si>
    <t>Зона № 12 (расстояние от 66 до 75км)</t>
  </si>
  <si>
    <t>Зона № 13 (расстояние от 76 до 85км)</t>
  </si>
  <si>
    <t>Зона № 14 (расстояние от 86 до 95км)</t>
  </si>
  <si>
    <t>Зона № 15 (расстояние от 96 до 105км)</t>
  </si>
  <si>
    <t>Зона № 16 (расстояние от 106 до 115км)</t>
  </si>
  <si>
    <t>Зона № 17 (расстояние от 116 до 125км)</t>
  </si>
  <si>
    <t>Зона № 18 (расстояние от 126 до 135км)</t>
  </si>
  <si>
    <t>Зона № 19 (расстояние от 136 до 145км)</t>
  </si>
  <si>
    <t>Зона № 20 (расстояние от 146 до 170км)</t>
  </si>
  <si>
    <t>Зона № 21 (расстояние от 171 до 195км)</t>
  </si>
  <si>
    <t>Зона № 22 (расстояние от 196 до 220км)</t>
  </si>
  <si>
    <t>Зона № 23 (расстояние от 221 до 245км)</t>
  </si>
  <si>
    <t>Зона № 24 (расстояние от 246 до 270км)</t>
  </si>
  <si>
    <t>Зона № 25 (расстояние от 271 до 295км)</t>
  </si>
  <si>
    <t>Зона № 26 (расстояние от 296 до 320км)</t>
  </si>
  <si>
    <t>Зона № 27 (расстояние от 321 до 345км)</t>
  </si>
  <si>
    <t>Зона № 28 (расстояние от 346 до 400км)</t>
  </si>
  <si>
    <t>Зона № 29 (расстояние от 401 до 450км)</t>
  </si>
  <si>
    <t>Зона № 30 (расстояние от 451 до 500км)</t>
  </si>
  <si>
    <t>Зона № 32 (расстояние от 501 до 550км)</t>
  </si>
  <si>
    <t>Зона № 33 (расстояние от 551 до 600км)</t>
  </si>
  <si>
    <t>Зона № 34 (расстояние от 601 до 650км)</t>
  </si>
  <si>
    <t>Погрузо-разгрузочные работы по отправлению/прибытию</t>
  </si>
  <si>
    <t>Погрузочно-разгрузочные работы по отправлению/прибытию (Контейнер ПАО "ТрансКонтейнер")</t>
  </si>
  <si>
    <t>Погрузочно-разгрузочные работы по отправлению/прибытию (контейнер иной собственности)</t>
  </si>
  <si>
    <t>40 фут 45 фут</t>
  </si>
  <si>
    <t>2.01.03</t>
  </si>
  <si>
    <t>Применяется при приеме/выдаче порожних контейнеров Клиента в/из депо (СТОК) при завозе/вывозе автотранспортом.  По прибытию  порожнего контейнера Клиента по железной дороге для сдачи в СТОК,после выгрузки груженого контейнера  Клиента на терминале с дальнейшей сдачей в СТОК,  применяются  ставки для 20фут ктк-1276,80 руб., для 40 фут-1701,60 руб. с учетом НДС.</t>
  </si>
  <si>
    <t>Услуга начисляется в случае хранения порожних контейнеров Клиента. Неполные сутки свыше 1(одного) часа округляются до полных.</t>
  </si>
  <si>
    <t>Ставки применяются при хранении грузов/контейнеров в следующих случаях: по прибытию - после истечения срока бесплатного хранения, установленного Уставом ЖДТ РФ, а также после выпуска товара в свободное обращение с ноля часов дня, следующего за предъявлением Клиентом   электронной декларации на товар с отметкой таможенного органа   "Выпуск разрешен". По отправлению - при завозе груза/контейнера на хранение по причинам, зависящим от Клиента. Сбор начисляется с момента фактического завоза груза/контейнера на терминал до момента приема груза/контейнера к перевозке. Неполные сутки свыше 1(одного) часа округляются до полных.</t>
  </si>
  <si>
    <t>Оплачиваемое  время нахождения контейнера  в ЗТК/СВХ ПАО "ТрансКонтейнер»  исчисляется  с ноля часов дня следующего за днем  выгрузки контейнера с вагона в ЗТК/СВХ до момента предьявления Клиентом электронной декларации на товар   с отметкой о выпуске товара. В случае направления товара на иное СВХ оплачиваемое время исчисляется   до момента вывоза  контейнера с Контейнерного терминала. Неполные сутки свыше 1(одного) часа округляются до полных.</t>
  </si>
  <si>
    <t>Услуга начисляется в случае хранения порожних контейнеров Клиента. Неполные сутки свыше 1(одного)часа округляются до полных.</t>
  </si>
  <si>
    <t>Контейнер</t>
  </si>
  <si>
    <t xml:space="preserve"> Ставка рассчитана для погрузчика грузоподъемностью до 5 тонн. Услуга оплачивается минимум за 1 час. Время работы погрузчика до 15 мин не учитывается, свыше 15 минут взыскивается как за полный  час.         </t>
  </si>
  <si>
    <t xml:space="preserve"> Ставка рассчитана для контейнерного перегружателя  «Ричстакер»  KALMAR DRF 450-60S5,HYSTER RS45-31CH грузоподъемностью до 45 т.       </t>
  </si>
  <si>
    <t>2.02.04</t>
  </si>
  <si>
    <t>"СПРУТ-777"</t>
  </si>
  <si>
    <t>2.02.05</t>
  </si>
  <si>
    <t xml:space="preserve">Установка щита заграждения. Услуга включает стоимость изготовления одного щита ограждения и его установку   в соответствии с Техническими условиями размещения и крепления грузов в вагонах и контейнерах. </t>
  </si>
  <si>
    <t>Подготовка контейнера под погрузку .Услуга применяется при подготовке контейнера в противопожарном отношении; подбора/ подготовки/ дооборудования контейнера для перевозки определенной номенклатуры грузов;при подготовке щита ограждения ПАО "ТрансКонтейнер" к фумигации  при определении соотвествия контейнера иной собственности требованиям ASEP.</t>
  </si>
  <si>
    <t>Контейнер, вагон</t>
  </si>
  <si>
    <t>Взвешивание груза на весах грузоподъемностью до  3 тонн.                  Неполная тонна, округляется до полной.</t>
  </si>
  <si>
    <t>Очистка контейнера от остатков ранее перевозимого груза.</t>
  </si>
  <si>
    <t xml:space="preserve">Крепление грузов </t>
  </si>
  <si>
    <t>Крепление грузов</t>
  </si>
  <si>
    <t>автомобиль</t>
  </si>
  <si>
    <t xml:space="preserve">Услуга включает стоимость крепления  одного автомобиля в контейнере  согласно Технических условий размещения и крепления грузов в вагонах и контейнерах специалистами при использовании реквизитов крепления ПАО ТрансКонтейнер.   В случае крепления иного груза в контейнере стоимость услуги будет рассчитана с учетом изготовления и установки необходимых реквизитов крепления в соответствии с Техническими условиями размещения и крепления грузов,  или  с  разработанным, согласованным эскизом на погрузку  и крепление  груза с учетом затраченного на погрузку времени.  </t>
  </si>
  <si>
    <t>Раскрепление грузов</t>
  </si>
  <si>
    <t xml:space="preserve">Услуга включает стоимость раскрепления одного автомобиля в контейнере.  Стоимость раскрепления иных грузов в соответствии с параметрами, указанными в заказе, рассчитывается отдельной калькуляцией. </t>
  </si>
  <si>
    <t>20 фут, 20фут (30т),40фут,45 фут</t>
  </si>
  <si>
    <t>страховые платежи</t>
  </si>
  <si>
    <t xml:space="preserve"> Оформление за Клиента в информационных системах заказа на транспортно-экспедиционные услуги</t>
  </si>
  <si>
    <t>Норма времени погрузки /выгрузки контейнеров Клиентом :  20 фут - 3 часа, 40-фут – 4 часа. Простой автотранспорта сверх нормы до 15 минут не учитывается, свыше 15 минут взыскивается как за полный  час.</t>
  </si>
  <si>
    <t>Норма времени погрузки /выгрузки контейнеров Клиентом составляет для 20 фут - 3 часа, 40-фут – 4 часа. При оказании услуги по завозу/вывозу с отцепом на складе грузополучателя/грузоотправителя плата за пользование полуприцепом начисляется с момента окончания норм времени на погрузку/выгрузку груза на складе Клиента до момента передачи уведомления ТрансКонтейнер по телефону 8(351)262-13-07 или по электронной почте BashurovaNP@trcont.ru  о завершении погрузки/выгрузки.</t>
  </si>
  <si>
    <t>2.04.03</t>
  </si>
  <si>
    <t>Прочие услуги автомобильного транспорта</t>
  </si>
  <si>
    <t>Погрузка/выгрузка по дополнительному адресу (сдача / забор порожнего контейнера  в/из депо собственника не на территории Контейнерного терминала )</t>
  </si>
  <si>
    <t>Н. В. Буиклы</t>
  </si>
  <si>
    <t>Начальник контейнерного терминала Челябинск-Грузовой</t>
  </si>
  <si>
    <t>Начальник Агентства в городе Челябинск</t>
  </si>
  <si>
    <t>Е.В. Шихова</t>
  </si>
  <si>
    <t xml:space="preserve">на услуги по организации транспортно-экспедиционного обслуживания, предоставляемые </t>
  </si>
  <si>
    <t>Уральским  филиалом ПАО "ТрансКонтейнер" по Контейнерному терминалу Нижневартовск</t>
  </si>
  <si>
    <t xml:space="preserve">действующий с  01 января 2023 года (стоимость в рублях )    </t>
  </si>
  <si>
    <t>Комплексное транспортно-экспедиторское обслуживание на маршруте перевозки.</t>
  </si>
  <si>
    <t xml:space="preserve"> расчётная</t>
  </si>
  <si>
    <t>Рассчитывается согласно указанной в Заказе информации на перевозку и зависит от направления, расстояния перевозки и  грузоподъемности контейнера, а также включает в себя услуги из раздела 1.02.01 - 1.02.06</t>
  </si>
  <si>
    <t>расчётная</t>
  </si>
  <si>
    <t>Организация перевозки контейнеров/грузов морским (речным) транспортом</t>
  </si>
  <si>
    <t>Зона № 001 (0-300)</t>
  </si>
  <si>
    <t>Зона № 012 (1-12)</t>
  </si>
  <si>
    <t>Зона № 022 (13-22)</t>
  </si>
  <si>
    <t>Зона № 045 (23-45)</t>
  </si>
  <si>
    <t>Зона № 067 (46-67)</t>
  </si>
  <si>
    <t>Зона № 085 (68-85)</t>
  </si>
  <si>
    <t>Зона № 105 (86-105)</t>
  </si>
  <si>
    <t>Зона № 130 (106-130)</t>
  </si>
  <si>
    <t>Зона № 152 (131-152)</t>
  </si>
  <si>
    <t>Зона № 175 (153-175)</t>
  </si>
  <si>
    <t>Зона № 200 (176-200)</t>
  </si>
  <si>
    <t>Зона № 222 (201-222)</t>
  </si>
  <si>
    <t>Зона № 245 (223-245)</t>
  </si>
  <si>
    <t>1.02.06.</t>
  </si>
  <si>
    <t>Предоставление вагона/контейнера для дополнительных операций, связанных с перевозкой грузов/контейнеров</t>
  </si>
  <si>
    <t>Предоставление  контейнера ТрансКонтейнер для дополнительных операций, связанных с перевозкой грузов.</t>
  </si>
  <si>
    <t>конт*сутки</t>
  </si>
  <si>
    <t>ваг*сут</t>
  </si>
  <si>
    <t>Ставка применяются  в случае   использования контейнеров собственности железнодорожных администраций стран СНГ ставка пользования контейнером расчитывается в соответствии с Тарифным руководством ОАО "РЖД".</t>
  </si>
  <si>
    <t>Дополнительные погрузочно-разгрузочные работы с гружеными контейнерами/грузами  (вес брутто до 24 тн), выполняемые ТрансКонтейнер при отправлению/прибытии</t>
  </si>
  <si>
    <t xml:space="preserve">Ставка за 1контейнеро-операцию погрузочно-разгрузочных работ КТК 20 фут. до 24 тн. (брутто не выше 24тн) - применяется, в том числе и на груженые контейнеры 20 ф. до 30тн фактический вес брутто которых не превышает 24тн.                                                                </t>
  </si>
  <si>
    <t>Дополнительные погрузочно-разгрузочные работы с порожними контейнерами/грузами выполняемые ТрансКонтейнер при отправлению/прибытии</t>
  </si>
  <si>
    <t>Хранение грузов/контейнеров на контейнерном терминале ТрансКонтейнер по отправлению/прибытию</t>
  </si>
  <si>
    <t>Ставки применяются при хранении грузов/контейнеров в следующих случаях: - по прибытию после истечения срока бесплатного хранения, установленного Уставом ЖДТ РФ; - по отправлению при завозе груза/контейнера ранее  назначенного дня погрузки. Сбор начисляется с момента фактического завоза груза/контейнера на терминал до момента приема груза/контейнера  к перевозке, неполные сутки свыше 1(одного) часа округляются до полных.</t>
  </si>
  <si>
    <t>тонн*суток на открытой площадке</t>
  </si>
  <si>
    <t xml:space="preserve"> тонн расчет</t>
  </si>
  <si>
    <t>20 фут, вагон</t>
  </si>
  <si>
    <t xml:space="preserve"> Механизированным способом, вес одного места груза не более 1500кг</t>
  </si>
  <si>
    <t>"Клещ-60СЦ" , "ЛаВРиК"</t>
  </si>
  <si>
    <t>Услуга применяется при подготовке контейнера в противопожарном отношении; подбора/ подготовки/ дооборудования контейнера для перевозки определенной номенклатуры грузов; при определении соотвествия контейнера иной собственности требованиям ASEP.</t>
  </si>
  <si>
    <t>комплект документов</t>
  </si>
  <si>
    <t>Услуга применяется при получении за грузоотправителя визы на погрузку грузов, выполняемое по его просьбе</t>
  </si>
  <si>
    <t>14</t>
  </si>
  <si>
    <t>крытые, полувагоны</t>
  </si>
  <si>
    <t>Осуществление расчетных операций за нахождение вагонов/контейнеров на железнодорожных путях</t>
  </si>
  <si>
    <t>Прочие платежно-финансовые и иные экспедиторские услуги.</t>
  </si>
  <si>
    <t>Очистка контейнера от остатков ранее перевозимого груза</t>
  </si>
  <si>
    <t xml:space="preserve">  </t>
  </si>
  <si>
    <t>Погрузка/выгрузка  контейнера механизированным способом на подъездном пути ООО "Ространском"</t>
  </si>
  <si>
    <t xml:space="preserve">40фут </t>
  </si>
  <si>
    <t>2.04.03.</t>
  </si>
  <si>
    <t>Экспедирование силами ТрансКонтейнер при завозе/вывозе</t>
  </si>
  <si>
    <t>Н.Б.Можарова</t>
  </si>
  <si>
    <t>И.о начальника контейнерного терминала Нижневартовск</t>
  </si>
  <si>
    <t>Л.А. Карюкина</t>
  </si>
  <si>
    <t>ПАО "ТрансКонтейнер" по  Агентству на станции Березники (Заячья горка)</t>
  </si>
  <si>
    <t xml:space="preserve">действующий с 01  января 2023 года (стоимость в рублях )    </t>
  </si>
  <si>
    <t xml:space="preserve"> зона 001  (на расстояние до 10 км включительно)</t>
  </si>
  <si>
    <t xml:space="preserve">Услуги  с учетом  времени погрузки и выгрузки контейнеров Клиентом не превышающим:  20 фут - 3 часа. Зональность автоперевозки определяется "Списком расстояний по зонам до клиентов от станции Заячья горка".   Ограничение по весу: для 20- футовых контейнеров до 20 тонн брутто                         </t>
  </si>
  <si>
    <t xml:space="preserve"> зона 002 (на расстояние от 11 до 30 км включительно)</t>
  </si>
  <si>
    <t xml:space="preserve"> зона 003 (на расстояние от 46 до 100 км включительно) </t>
  </si>
  <si>
    <t xml:space="preserve"> зона 004 (на расстояние от 31 до 35 км включительно)</t>
  </si>
  <si>
    <t xml:space="preserve"> зона 005 (на расстояние от 36 до 45 км включительно)</t>
  </si>
  <si>
    <t>Организация обработки контейнеров / грузов</t>
  </si>
  <si>
    <t>с гружеными контейнерами,  при отправлении/прибытии (вес брутто до 24 тн)</t>
  </si>
  <si>
    <t>с порожними контейнерами/грузами при отправлении/прибытии</t>
  </si>
  <si>
    <t>2.2.10</t>
  </si>
  <si>
    <t>Начальник Агентства на станции Березники</t>
  </si>
  <si>
    <t>Е.М. Назипова</t>
  </si>
  <si>
    <t>Уральским филиалом ПАО "ТрансКонтейнер", по Контейнерному терминалу Екатеринбург-Товарный</t>
  </si>
  <si>
    <t>1. Комплексные транспортно-экспедиторские услуги</t>
  </si>
  <si>
    <t>Комплексное транспортно-экспедиторское обслуживание на маршруте перевозки контейнеров/грузов.</t>
  </si>
  <si>
    <t>Организация перевозки контейнеров/грузов железнодорожным транспортом</t>
  </si>
  <si>
    <t>1.02.03.</t>
  </si>
  <si>
    <t>Организация перевозки контейнеров/грузов автомобильным транспортом</t>
  </si>
  <si>
    <t>010 зона (1-10км)</t>
  </si>
  <si>
    <t>перевозка порожних контейнеров Клиента</t>
  </si>
  <si>
    <t>023 зона (11-23км)</t>
  </si>
  <si>
    <t>035 зона (24-35км)</t>
  </si>
  <si>
    <t>050 зона (36-50км)</t>
  </si>
  <si>
    <t>080 зона (51-80км)</t>
  </si>
  <si>
    <t>0110 зона (81-110км)</t>
  </si>
  <si>
    <t>0160 зона (111-160км)</t>
  </si>
  <si>
    <t>0200 зона (161-200км)</t>
  </si>
  <si>
    <t>0250 зона (201-250км)</t>
  </si>
  <si>
    <t>0300 зона (251-300км)</t>
  </si>
  <si>
    <t>0350 зона (301-350км)</t>
  </si>
  <si>
    <t>0400 зона (351-400км)</t>
  </si>
  <si>
    <t>0450 зона (401-450км)</t>
  </si>
  <si>
    <t>0500 зона (451-500км)</t>
  </si>
  <si>
    <t>0550 зона (501-550км)</t>
  </si>
  <si>
    <t>0600 зона (551-600км)</t>
  </si>
  <si>
    <t>0650 зона (601-650км)</t>
  </si>
  <si>
    <t>0700 зона (651-700км)</t>
  </si>
  <si>
    <t>0750 зона (701-750км)</t>
  </si>
  <si>
    <t>0800 зона (751-800км)</t>
  </si>
  <si>
    <t>0850зона (801-850км)</t>
  </si>
  <si>
    <t>0900 зона (851-900км)</t>
  </si>
  <si>
    <t>0950 зона (901-950км)</t>
  </si>
  <si>
    <t>01000 зона (951-1000км)</t>
  </si>
  <si>
    <t>01100 зона (1001-1100км)</t>
  </si>
  <si>
    <t>01200 зона (1101-1200км)</t>
  </si>
  <si>
    <t>01300 зона (1201-1300км)</t>
  </si>
  <si>
    <t>01400 зона (1301-1400км)</t>
  </si>
  <si>
    <t>01500 зона (1401-1500км)</t>
  </si>
  <si>
    <t>2. Дополнительные транспортно-экспедиторские услуги.</t>
  </si>
  <si>
    <t>Оперирование подвижным составом и парком контейнеров</t>
  </si>
  <si>
    <t>2.01.01.01.</t>
  </si>
  <si>
    <t>Предоставление вагона иного собственника для перевозки груза</t>
  </si>
  <si>
    <t>2.01.01.02.</t>
  </si>
  <si>
    <t>Предоставление контейнера иного собственника для перевозки груза</t>
  </si>
  <si>
    <t>Предоставление контейнера  за первые - десятые сутки, при этом фактический объем услуги определяется исходя из временного интервала оказания услуги, длительность которого исчисляется количеством календарных суток. Неполные сутки свыше 1 (одного)часа округляются до полных.</t>
  </si>
  <si>
    <t>Предоставление контейнера  за одинадцатые - двадцатые сутки, при этом фактический объем услуги определяется исходя из временного интервала оказания услуги, длительность которого исчисляется количеством календарных суток. Неполные сутки свыше 1 (одного)часа округляются до полных.</t>
  </si>
  <si>
    <t>Предоставление контейнера за двадцать первые и последующие сутки, при этом фактический объем услуги определяется исходя из временного интервала оказания услуги, длительность которого исчисляется количеством календарных суток. Неполные сутки свыше 1 (одного)часа округляются до полных.</t>
  </si>
  <si>
    <t>Дополнительные погрузочно-разгрузочные работы с контейнерами/грузами.</t>
  </si>
  <si>
    <t>Дополнительные погрузочно-разгрузочные работы с гружеными контейнерами/грузами (вес брутто до 24 тн)</t>
  </si>
  <si>
    <t>Дополнительные погрузочно-разгрузочные работы с гружеными контейнерами/грузами (вес брутто свыше 24 тн)</t>
  </si>
  <si>
    <t>Хранение контейнеров/грузов  (диапазон 
с 1-х по 3 сутки)</t>
  </si>
  <si>
    <t>конт-сутки</t>
  </si>
  <si>
    <t>Ставки применяются при хранении грузов/контейнеров в следующих случаях: - по прибытию после истечения срока бесплатного хранения, установленного Уставом ЖДТ РФ; - по отправлению при завозе груза/контейнера ранее  назначенного дня погрузки. Сбор начисляется с момента фактического завоза груза/контейнера на терминал до момента приема груза/контейнера  к перевозке, а также после выпуска товара в свободное обращение с ноля часов дня, следующего за предъявлением Клиентом перевозочного документа с отметкой таможенного органа    "Выпуск разрешен". Неполные сутки свыше 1(одного) часа округляются до полных.</t>
  </si>
  <si>
    <t>Хранение контейнеров/грузов  (диапазон 
с 4-х по 7 сутки)</t>
  </si>
  <si>
    <t>Хранение контейнеров/грузов  (диапазон 
с 8-х по 12 сутки)</t>
  </si>
  <si>
    <t xml:space="preserve">Хранение контейнеров/грузов (диапазон с 13-х суток и далее) </t>
  </si>
  <si>
    <t xml:space="preserve">Хранение контейнеров/грузов </t>
  </si>
  <si>
    <t>с подключением электропитания</t>
  </si>
  <si>
    <t xml:space="preserve"> Применяется  при хранении порожнего  контейнера Клиента на терминале в "депо". Неполные сутки (свыше 1 часа) округляются до полных .</t>
  </si>
  <si>
    <t>Оплачиваемое  время нахождения контейнера  в ЗТК/СВХ ПАО "ТрансКонтейнер»  исчисляется  с ноля часов дня следующего за днем завершения ТПТТ таможенным органом до момента предьявления Клиентом перевозочных  документов  с отметкой о выпуске товара. В случае направления товара на иное СВХ оплачиваемое время исчисляется  с ноля часов дня следующего за днем завершения ТПТТ таможенным органом до момента вывоза  контейнера с Контейнерного терминала. Неполные сутки свыше 1(одного) часа округляются до полных.</t>
  </si>
  <si>
    <t xml:space="preserve">Погрузка/выгрузка груза </t>
  </si>
  <si>
    <t>чел./час</t>
  </si>
  <si>
    <t>ручным способом, в том числе для таможенного досмотра</t>
  </si>
  <si>
    <t xml:space="preserve"> механизированным способом</t>
  </si>
  <si>
    <t>ЗПУ «Клещ-60СЦ», ЛаВРиК</t>
  </si>
  <si>
    <t>ЗПУ «Закрутка»</t>
  </si>
  <si>
    <t xml:space="preserve"> Подготовка контейнера под погрузку(термиообработка реквизита крепления для экспортной отправки)</t>
  </si>
  <si>
    <t>Установка щита заграждения</t>
  </si>
  <si>
    <t>2.02.06.</t>
  </si>
  <si>
    <t xml:space="preserve">Без выдачи сертификата </t>
  </si>
  <si>
    <t>С выдачей сертификата</t>
  </si>
  <si>
    <t>количество</t>
  </si>
  <si>
    <t>Оформление документов по процедуре  таможенного транзита</t>
  </si>
  <si>
    <t xml:space="preserve">Доставка документов в таможенные органы </t>
  </si>
  <si>
    <t>Прием/выдача контейнеров в/из стоках.</t>
  </si>
  <si>
    <t>легковой</t>
  </si>
  <si>
    <t xml:space="preserve">Услуга включает стоимость крепления  одного автомобиля в контейнере  согласно Технических условий размещения и крепления грузов в вагонах и контейнерах специалистами при использовании реквизитов крепления ПАО ТрансКонтейнер.    </t>
  </si>
  <si>
    <t>джип</t>
  </si>
  <si>
    <t>крепление/раскрепление контейнера на платформе, предусматривающее применение увязочных приспособлений</t>
  </si>
  <si>
    <t>раскрепление контейнеров в полувагоне, включая зачистку полувагона от реквизитов крепления</t>
  </si>
  <si>
    <t>Платежно-финансовые и прочие экспедиторские услуги</t>
  </si>
  <si>
    <t>Чертеж для габаритного груза</t>
  </si>
  <si>
    <t>выдача справок о стоимости услуг</t>
  </si>
  <si>
    <t xml:space="preserve">Загрузка/выгрузка контейнера по дополнительному адресу          </t>
  </si>
  <si>
    <t>Начальник  контейнерного терминала  Екатеринбург-Товарный</t>
  </si>
  <si>
    <t>Л. М. Шац</t>
  </si>
  <si>
    <t xml:space="preserve"> Уральским филиалом ПАО "ТрансКонтейнер" по Агентству на станции Сургут</t>
  </si>
  <si>
    <t>Услуги  с учетом  времени погрузки и выгрузки контейнеров Клиентом не превышающим: 20 фут - 3 часа, 40-фут – 4 часа. Зональность автоперевозки определяется "Списком расстояний по зонам до клиентов от Контейнерной площалки ст. Сургут". Ограничения по весу: для всех контейнеров до 24 тонн брутто (ХМАО, ЯМАЛ)</t>
  </si>
  <si>
    <t>Зона № 5 (расстояние от 21 до 30км)</t>
  </si>
  <si>
    <t>Зона № 6 (расстояние от 31 до 55 км)</t>
  </si>
  <si>
    <t>Зона № 7 (расстояние от 56 до 70км)</t>
  </si>
  <si>
    <t>Зона № 8 (расстояние от 71 до 100 км)</t>
  </si>
  <si>
    <t>Зона № 9 (расстояние от 101 до 150км)</t>
  </si>
  <si>
    <t>Зона № 10 (расстояние от 151 до 200км)</t>
  </si>
  <si>
    <t>Зона № 11 (расстояние от 201 до 300км)</t>
  </si>
  <si>
    <t>Зона № 12 (расстояние от 301 до 500км)</t>
  </si>
  <si>
    <t>Зона № 13 (расстояние от 501 до 700км)</t>
  </si>
  <si>
    <t>Зона № 14 (расстояние от 701 до 800км)</t>
  </si>
  <si>
    <t>1.02.04</t>
  </si>
  <si>
    <t>Ставка применяется в отношении контейнеров, предоставляемых для перевозки воинских грузов по форме-2, в том числе для личных бытовых нужд военнослужащих, и в объявленных договором оферты РЖД.</t>
  </si>
  <si>
    <t xml:space="preserve">Дополнительные погрузочно-разгрузочные работы с контейнерами/грузами  </t>
  </si>
  <si>
    <t>Ставка за 1 контейнеро-операцию погрузочно-разгрузочных работ груженого/порожнего контейнера</t>
  </si>
  <si>
    <t>тонн</t>
  </si>
  <si>
    <t>Клещ 60СЦ, ЛаВРик</t>
  </si>
  <si>
    <t>все типы контейнера</t>
  </si>
  <si>
    <t>Услуга включает стоимость одного щита загрождения в контейнере  согласно Технических условий размещения и крепления грузов в вагонах и контейнерах.</t>
  </si>
  <si>
    <t>Осуществление расчетных операций за сопровождение и охрану груза в пути следования железнодорожным транспортомв зависимости от рода груза и количества контейнеров/вагонов в охраняемой группе</t>
  </si>
  <si>
    <t>Оформление за Клиента в информационных системах заказа на транспортно-экспедиторские услуги.</t>
  </si>
  <si>
    <t>конт*часов</t>
  </si>
  <si>
    <t>Начальник Агентства Сургут</t>
  </si>
  <si>
    <t>Н.В. Курц</t>
  </si>
  <si>
    <t>В соответствии с утвержденным списоком зон г. Кургана и Курганской области. 
Завоз (вывоз) контейнера (с тарификацией по зонам) включает:
- вывоз груженого (порожнего) контейнера + завоз порожнего (груженого) контейнера
- нормативное время погрузки и выгрузки контейнеров Клиентом не превышающим: 20 фут – 3 часа, 40 фут – 4 часа.
При перевозке грузов под таможенным контролем с выездом в зону другого таможенного поста, ставка увеличивается на размер простоя автотранспорта в ожидании оформления документов.
При перевозке с отцепом/снятием на складе грузополучателя/грузоотправителя к ставкам организации перевозки автомобильным транспортом дополнительно взыскивается плата за пользование  прицепом за фактическое время нахождения прицепа с контейнером под погрузкой/выгрузкой с момента отцепа на складе Клиента до момента передачи уведомления о завершении погрузки/выгрузки без учета норматива времени под загрузкой/выгрузкой. 
Ограничение по весу: для 20- футовых контейнеров до 28 тонн брутто,  для 40- футовых контейнеров до 30 тонн брутто.</t>
  </si>
  <si>
    <t>Подготовка контейнера под погрузку. Услуга применяется  при подготовке контейнера в противопожарном отношении; подбора/ подготовки/ дооборудования контейнера для перевозки определенной номенклатуры грузов; определение соотвествия контейнера иной собственности требованиям ASEP</t>
  </si>
  <si>
    <t>Ставка за 1контейнеро-операцию погрузочно-разгрузочных работ КТК 20 фут. до 24 тн. (брутто не выше 24тн) - применяется, в том числе и на груженые контейнеры 20 ф. до 30тн, фактический вес брутто которых не превышает 24тн.</t>
  </si>
  <si>
    <t>Услуги  с учетом  времени погрузки и выгрузки контейнеров клиентом не превышающие - 3 часа.
Зональность автоперевозки определяется "Списком расстояний по зонам до клиентов от контейнерного терминала Нижневартовск".  Ограничение по весу: для 20- футовых контейнеров до 22 тонн брутто.</t>
  </si>
  <si>
    <t>На контейнерном терминале РЖД по прибытию/отправлению. Ставки применяются при хранении грузов/контейнеров в следующих случаях:
- по прибытию после истечения срока бесплатного хранения, установленного Уставом ЖДТ РФ; 
- по отправлению при завозе груза/контейнера ранее  назначенного дня погрузки. 
Сбор начисляется с момента фактического завоза груза/контейнера на терминал до момента приема груза/контейнера  к перевозке. Неполные сутки свыше 1(одного) часа округляются до полных.</t>
  </si>
  <si>
    <t>конт.*час</t>
  </si>
  <si>
    <t>Ставка за 1контейнеро-операцию погрузочно-разгрузочных работ КТК 20 фут. до 24 тн. (брутто не выше 24тн) - применяется, в том числе и на груженые контейнеры 20 ф. до 30тн фактический вес брутто которых не превышает 24тн. Ставка за 1контейнеро-операцию погрузочно-разгрузочных работ КТК 20фут. до 30 тн. (брутто выше 24тн) - применяется на груженый контейнер 20 фут. 30 тн. фактический вес брутто которого превышает 24тн.</t>
  </si>
  <si>
    <t>конт.*сут</t>
  </si>
  <si>
    <t>________________ А.А. Кривошапкин</t>
  </si>
  <si>
    <t>Ставка по предоставлению контейнера за первые - десятые сутки, при этом фактический объем услуги определяется исходя из временного интервала оказания услуги, длительность которого исчисляется количеством календарных суток. Неполные сутки свыше 1 (одного) часа округляются до полных.</t>
  </si>
  <si>
    <t>Ставка по предоставлению контейнера за одиннадцатые - двадцатые сутки, при этом фактический объем услуги определяется исходя из временного интервала оказания услуги, длительность которого исчисляется количеством календарных суток. Неполные сутки свыше 1 (одного) часа округляются до полных.</t>
  </si>
  <si>
    <t>Ставка по предоставлению контейнера за двадцать первые и последующие сутки, при этом фактический объем услуги определяется исходя из временного интервала оказания услуги, длительность которого исчисляется количеством календарных суток. Неполные сутки свыше 1 (одного) часа округляются до полных.</t>
  </si>
  <si>
    <t>Ставка по  предоставлению вагона за первые - пятые сутки,при этом фактический объем услуги определяется исходя из временного интервала оказания услуги, длительность которого исчисляется количеством календарных суток.  Неполные сутки свыше 1 (одного) часа округляются до полных.</t>
  </si>
  <si>
    <t xml:space="preserve"> Ставка по  предоставлению вагона за шестые и последующие сутки,при этом фактический объем услуги определяется исходя из временного интервала оказания услуги, длительность которого исчисляется количеством календарных суток.  Неполные сутки свыше 1 (одного) часа округляются до полных.</t>
  </si>
  <si>
    <t>Ставки применяются при хранении грузов/контейнеров в следующих случаях: - по прибытию после истичения срока бесплатного хранения, установленного Уставом ЖДТ РФ.
- по отправлению при завозе груза/контейнера ранее  назначенного дня погрузки. Сбор начисляется с момента фактического завоза груза/контейнера на терминал до момента приема груза/контейнера  к перевозке, а также после выпуска товара в свободное обращение по предъявлению Клиентом оригинала железнодорожной накладной и Декларации на товар с отметкой таможенного органа  "Выпуск разрешен".
Неполные сутки свыше 1 (одного) часа округляются до полных.</t>
  </si>
  <si>
    <t>20 фут,
40 фут</t>
  </si>
  <si>
    <t>вагон*сут</t>
  </si>
  <si>
    <t>Ставка по предоставлению контейнера  за одиннадцатые - двадцатые сутки, при этом фактический объем услуги определяется исходя из временного интервала оказания услуги, длительность которого исчисляется количеством календарных суток. Неполные сутки свыше 1 (одного) часа округляются до полных.</t>
  </si>
  <si>
    <t>Ставка по предоставлению контейнера  за двадцать первые и последующие сутки, при этом фактический объем услуги определяется исходя из временного интервала оказания услуги, длительность которого исчисляется количеством календарных суток. Неполные сутки свыше 1 (одного) часа округляются до полных.</t>
  </si>
  <si>
    <t>Ставка по предоставлению вагона за первые - пятые сутки, при этом фактический объем услуги определяется исходя из временного интервала оказания услуги, длительность которого исчисляется количеством календарных суток. Неполные сутки свыше 1 (одного) часа округляются до полных.</t>
  </si>
  <si>
    <t>Ставка по  предоставлению вагона за шестые и последующие сутки,при этом фактический объем услуги определяется исходя из временного интервала оказания услуги, длительность которого исчисляется количеством календарных суток. Неполные сутки свыше 1 (одного) часа округляются до полных.</t>
  </si>
  <si>
    <r>
      <t>Хранение собственных контейнеров по просьбе клиента (</t>
    </r>
    <r>
      <rPr>
        <b/>
        <sz val="12"/>
        <rFont val="Times New Roman"/>
        <family val="1"/>
      </rPr>
      <t>порожний</t>
    </r>
    <r>
      <rPr>
        <sz val="12"/>
        <rFont val="Times New Roman"/>
        <family val="1"/>
      </rPr>
      <t>)</t>
    </r>
  </si>
  <si>
    <t>Отправление документов заказной корреспонденцией по просьбе Заказчика (1 конверт почтой России)</t>
  </si>
  <si>
    <t>тонно/суток</t>
  </si>
  <si>
    <t>Услуги оплачиваются Клиентом минимум за 3 часа. при условии работы 2 грузчиков . Данная ставка предусматривает работу 1 грузчика в течение 1 часа. Время работы грузчика до 15 мин не учитывается, свыше 15 минут взыскивается как за полный  час. Услуги не оказываются 31 декабря, а также 1 и 2 января календарного года.</t>
  </si>
  <si>
    <t>Услуга включает стоимость раскрепления контейнера, прибывшего в полувагоне и очистку полувагона от реквизитов крепления.</t>
  </si>
  <si>
    <r>
      <t xml:space="preserve">Оплачиваемое  время нахождения контейнера  в ЗТК/СВХ ПАО "ТрансКонтейнер»  исчисляется  с ноля часов дня следующего за днемвыгрузки контейнера с вагона в ЗТК/СВХ до момента предьявления Клиентом электронной декларации на товар  с отметкой о выпуске товара. В случае направления товара на иное СВХ оплачиваемое время исчисляется </t>
    </r>
    <r>
      <rPr>
        <strike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 до момента вывоза  контейнера с Контейнерного терминала. Неполные сутки свыше 1(одного) часа округляются до полных.</t>
    </r>
  </si>
  <si>
    <r>
      <t xml:space="preserve">Оплачиваемое  время нахождения контейнера  в ЗТК/СВХ ПАО "ТрансКонтейнер»  исчисляется  с ноля часов дня следующего за днемыгрузки контейнера с вагона в ЗТК/СВХ до момента предьявления Клиентом электронной декларации на товар  с отметкой о выпуске товара. В случае направления товара на иное СВХ оплачиваемое время исчисляется </t>
    </r>
    <r>
      <rPr>
        <strike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 до момента вывоза  контейнера с Контейнерного терминала. Неполные сутки свыше 1(одного) часа округляются до полных.</t>
    </r>
  </si>
  <si>
    <t xml:space="preserve">действующий с 21 января  2023 года (стоимость в рублях )    </t>
  </si>
  <si>
    <t>Ставка применяется  при хранении груза на контейнерном терминале  в следующих случаях:  по отправлению - при  завозе груза на Контейнерный терминал, в том числе ранее назначенного дня погрузки   с момента  фактического завоза груза на терминал до момента начала погрузки груза в контейнер; по прибытию – с момента  фактической выгрузки груза  на Контейнерный терминал до момента вывоза груза с терминала; при хранении  не связанном с железнодорожной перевозкой -  с момента завоза груза на  контейнерный терминал до момента вывоза с терминала.
Неполные сутки свыше 1 часа округляются  до полных, неполные тонны округляются до целой тонны.
На хранение не принимаются  опасные, скоропортящиеся, боящиеся внешних атмосферных воздействий грузы.</t>
  </si>
  <si>
    <t>Ставка за 1контейнеро-операцию погрузочно-разгрузочных работ КТК 20 фут. до 24 тн. (брутто не выше 24тн) - применяется, в том числе и на груженые контейнеры 20 ф. до 30тн фактический вес брутто которых не превышает 24тн.                                                                 Ставка за 1контейнеро-операцию погрузочно-разгрузочных работ КТК 20фут. до 30 тн. (брутто выше 24тн) - применяется на груженый контейнер 20 фут. 30 тн. фактический вес брутто которого превышает 24тн.</t>
  </si>
  <si>
    <t xml:space="preserve"> 5 тн, 20 фут, 40 фут</t>
  </si>
  <si>
    <t>20 фут, 40 фут</t>
  </si>
  <si>
    <t>20 фут, 40фут, 45 фут</t>
  </si>
  <si>
    <t>20 фут, 40 фут, 45 фут</t>
  </si>
  <si>
    <t>Контейнерный терминал ООО "УТРО", ст.Екатерибург-Товарный</t>
  </si>
  <si>
    <t>Организация обработки контейнеров/грузов на терминалах/в портах/в депо (груженый контейнер в составе контейнерного поезда)</t>
  </si>
  <si>
    <t>Включены сборы за подачу контейнерного поезда на терминал, выгрузка контейнера с вагона на терминал, фото состояния контейнера и отправление фото собственнику по запросу, проверка наличия ЗПУ, раскредитование перевозочных документов, дефектовка порожнего контейнера.</t>
  </si>
  <si>
    <t>Организация обработки контейнеров/грузов на терминалах/в портах/в депо (порожний контейнер в составе контейнерного поезда)</t>
  </si>
  <si>
    <t>Ставка за 1 контейнеро-операцию погрузочно-разгрузочных работ, применяется для приема/выдачи контейнера с автотранспорта на терминал/с терминала на автотранспорт, перестановки из стока в сток, осмотра контейнера, постановки/уборки в ремонтную зону и прочих.</t>
  </si>
  <si>
    <t>Хранение контейнеров/грузов  (диапазон 
с 1-х по 5 сутки) - для прибытия в составе контейнерного поезда</t>
  </si>
  <si>
    <t>Ставки применяются при хранении грузов/контейнеров по прибытию после истечения срока бесплатного хранения (5 суток для прибывших в составе контейнерного поезда). Неполные сутки свыше 1(одного) часа округляются до полных.</t>
  </si>
  <si>
    <t>Хранение контейнеров/грузов  (диапазон 
с 6-х по 8 сутки)</t>
  </si>
  <si>
    <t>Хранение контейнеров/грузов  (диапазон 
с 9-х по 15 сутки)</t>
  </si>
  <si>
    <t>Хранение контейнеров/грузов  (диапазон 
с 16-х по 22 сутки)</t>
  </si>
  <si>
    <t xml:space="preserve">Хранение контейнеров/грузов (диапазон с 23-х суток и далее) </t>
  </si>
  <si>
    <t>Раскрепление контейнеров в полувагоне, включая зачистку полувагона от реквизитов крепления</t>
  </si>
  <si>
    <t>Раскрепление контейнеров, прибывших в полувагоне, и очистка полувагона от реквизита крепления</t>
  </si>
  <si>
    <t>Услуга применяется: 
-при перемещение контейнера прошедшего таможенную очистку
с СВХ  на хранение по просьбе Клиента.
- при перемещении в место проверки и/или устранения коммерческой или технической неисправности контейнера ,возникшей по вине грузоотправителя;
- при проведении по просьбе Клиента  взвешивания ,в том числе повторного после завоза контейнера на площадку для отправки жд транспортом</t>
  </si>
  <si>
    <t>При оказании услуги по завозу/вывозу с отцепом на складе грузополучателя/грузоотправителя плата за пользование полуприцепом начисляется с момента отцепа на складе Клиента до момента передачи уведомления в ТрансКонтейнер по тел.8(343)380-12-00 доб 5145, 5136                                                           о завершении погрузки/выгрузки без учета норматива времени под загрузкой/ выгрузкой.</t>
  </si>
  <si>
    <t>вагон*сутки</t>
  </si>
  <si>
    <t>Хранение на открытой площадке              (контейнеры)</t>
  </si>
  <si>
    <t xml:space="preserve">действующий с 13 марта 2023 года (стоимость в рублях )    </t>
  </si>
  <si>
    <t>20 фут, 20фут (30т),40фут</t>
  </si>
  <si>
    <t>Согласовано</t>
  </si>
  <si>
    <t>Ставки применяются при хранении грузов/контейнеров в следующих случаях:           - по прибытию после истечения срока бесплатного хранения, установленного Уставом ЖДТ РФ;                                                     - по отправлению при завозе груза/контейнера ранее  назначенного дня погрузки. Сбор начисляется с момента фактического завоза груза/контейнера на терминал до момента приема груза/контейнера  к перевозке,                                                                                    а также после выпуска товара в свободное обращение с ноля часов дня, следующего за предъявлением Клиентом перевозочного документа с отметкой таможенного органа    "Выпуск разрешен".                                                                                Неполные сутки свыше 1(одного) часа округляются до полных.</t>
  </si>
  <si>
    <t>20 фут, 40 фут, вагон</t>
  </si>
  <si>
    <t>раскредитование перевозочных документов</t>
  </si>
  <si>
    <t xml:space="preserve">действующий с 01 апреля 2023 года (стоимость в рублях )    </t>
  </si>
  <si>
    <t xml:space="preserve">Стоимость услуги  дана с учетом  времени на погрузку/выгрузку контейнера:  20 фут - 3 часа, 40-фут – 4 часа. При перевозке с отцепом на складе грузополучателя/грузоотправителя к ставкам организации перевозки автомобильным транспортом дополнительно взыскивается плата за пользование  прицепом.Расчет платы ведется с момтента отцепа  прицепа с контейнером на складе Клиента до момента передачи уведомления о завершении погрузки/выгрузки без учета норматива времени под погрузкой/выгрузкой. При перевозке грузов под таможенным контролем с выездом в зону другого таможенного поста дополнительно взыскивается услуга 2.04.03. Ограничение по весу: для 20 и 40 футовых контейнеров до 26 тонн брутто.                   При перевозке опасных грузов (c 3 по 9 класс) применяется повышающий коэффициент 1,25 к ставке  организации перевозки контейнеров  </t>
  </si>
  <si>
    <t xml:space="preserve"> Услуга применяется  при выгрузке/погрузке вагона прямым вариантом "вагон-автомобиль"</t>
  </si>
  <si>
    <t xml:space="preserve">Внесение по инициативе грузоотправителя или организации, осуществляющей перевалку грузов, изменений в принятые заявки на перевозки грузов. 
 Рассчитываетя и взыскивается согласно тарифным руководствам  №1,2,3 или на основании других нормативных документов ОАО "РЖД
</t>
  </si>
  <si>
    <t>20 фут, 20фут (30т),40фут, 45фут</t>
  </si>
  <si>
    <t>Пользование полуприцепом начисляется с момента окончания норм времени на погрузку/выгрузку груза на складе Клиента до момента передачи уведомления о завершении погрузки/выгрузки по телефону                       8 (3519)393 827 доб.5411</t>
  </si>
  <si>
    <t xml:space="preserve">действующий с 01 мая 2023 года  (стоимость в рублях ) </t>
  </si>
  <si>
    <t xml:space="preserve"> Время погрузки и выгрузки контейнеров Клиентом:  20фут - 3 часа, 40фут - 4 часа. Время нахождения автомобиля рассчитывается с момента прибытия автомобиля в пункт погрузки/выгрузки (но не ранее, указанного времени подачи автотранспорта в заказе клиента и транспортной накладной) до момента убытия автомобиля из пункта погрузки/выгрузки.                                      Зональность автоперевозки определяется "Списком расстояний по зонам  до клиентов от Контейнерного терминала Магнитогорск-Грузовой".                                                                                                                              Стоимость автодоставки контейнера по зонам включает:                                               2 пробега автомобиля с груженым / порожним контейнером на полуприцепе с/на склад Клиента.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 перевозке грузов под таможенным контролем с выездом в зону другого таможенного поста, ставка увеличивается на размер простоя автотранспорта в ожидании оформления на таможенном посту.                                                                При перевозке с отцепом/снятием на складе грузополучателя/грузоотправителя к ставкам организации перевозки автомобильным транспортом дополнительно взыскивается плата за пользование  прицепом. Пользование полуприцепом начисляется с момента окончания норм времени на погрузку/выгрузку груза на складе Клиента до момента передачи уведомления о завершении погрузки/выгрузки.                                        </t>
  </si>
  <si>
    <t>Услуга оказывается:                                           
* при креплении груза в вагоне, без учета материалов;                                                          
* при раскреплении всех видов грузов</t>
  </si>
  <si>
    <t xml:space="preserve">действующий с 01 мая 2023 года (стоимость в рублях )    </t>
  </si>
  <si>
    <t>При оказании услуги по завозу/вывозу с отцепом на складе грузополучателя/грузоотправителя плата за пользование полуприцепом начисляется с момента отцепа на складе Клиента до момента передачи уведомления в ТрансКонтейнер  о завершении погрузки/выгрузки без учета норматива времени под загрузкой/ выгрузкой.</t>
  </si>
  <si>
    <r>
      <t xml:space="preserve">Ставки применяются при хранении грузов/контейнеров </t>
    </r>
    <r>
      <rPr>
        <b/>
        <sz val="12"/>
        <color indexed="8"/>
        <rFont val="Times New Roman"/>
        <family val="1"/>
      </rPr>
      <t>по отправлению</t>
    </r>
    <r>
      <rPr>
        <sz val="12"/>
        <color indexed="8"/>
        <rFont val="Times New Roman"/>
        <family val="1"/>
      </rPr>
      <t xml:space="preserve"> при завозе груза/контейнера ранее назначенного дня погрузки и хранении сверхнормативного срока (15 суток для накопления на контейнерный поезд). Сбор начисляется с момента фактического завоза груза/контейнера на терминал до момента приема груза/контейнера  к перевозке. Неполные сутки свыше 1(одного) часа округляются до полных.</t>
    </r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</si>
</sst>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_₽"/>
    <numFmt numFmtId="165" formatCode="#,##0.00_р_."/>
    <numFmt numFmtId="166" formatCode="000000"/>
    <numFmt numFmtId="167" formatCode="0.0"/>
    <numFmt numFmtId="168" formatCode="0_ ;\-0\ 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0"/>
      <color indexed="8"/>
      <name val="Arial"/>
      <family val="2"/>
    </font>
    <font>
      <u val="single"/>
      <sz val="12"/>
      <name val="Times New Roman"/>
      <family val="1"/>
    </font>
    <font>
      <sz val="12"/>
      <name val="Cambria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trike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36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7030A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/>
      <top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/>
      <bottom style="medium"/>
    </border>
    <border>
      <left style="thin">
        <color rgb="FF000000"/>
      </left>
      <right style="thin"/>
      <top style="thin">
        <color rgb="FF000000"/>
      </top>
      <bottom/>
    </border>
    <border>
      <left style="thin"/>
      <right style="thin">
        <color rgb="FF000000"/>
      </right>
      <top/>
      <bottom style="thin">
        <color rgb="FF000000"/>
      </bottom>
    </border>
    <border>
      <left/>
      <right style="thin"/>
      <top/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/>
      <bottom/>
    </border>
    <border>
      <left style="thin"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/>
      <top style="thin"/>
      <bottom/>
    </border>
    <border>
      <left style="thin"/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 style="thin"/>
      <top style="thin">
        <color rgb="FF000000"/>
      </top>
      <bottom/>
    </border>
    <border>
      <left style="thin"/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/>
      <top style="thin">
        <color rgb="FF000000"/>
      </top>
      <bottom/>
    </border>
    <border>
      <left style="thin"/>
      <right style="thin"/>
      <top/>
      <bottom style="thin">
        <color rgb="FF000000"/>
      </bottom>
    </border>
    <border>
      <left style="medium"/>
      <right style="thin"/>
      <top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/>
      <bottom style="medium"/>
    </border>
    <border>
      <left>
        <color indexed="63"/>
      </left>
      <right style="thin"/>
      <top style="thin"/>
      <bottom style="medium"/>
    </border>
    <border>
      <left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/>
      <top/>
      <bottom/>
    </border>
    <border>
      <left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 style="medium"/>
      <right/>
      <top style="thin"/>
      <bottom/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>
        <color rgb="FF000000"/>
      </right>
      <top style="thin"/>
      <bottom/>
    </border>
    <border>
      <left style="thin">
        <color rgb="FF000000"/>
      </left>
      <right style="thin"/>
      <top style="thin"/>
      <bottom/>
    </border>
    <border>
      <left style="thin"/>
      <right style="thin">
        <color rgb="FF000000"/>
      </right>
      <top/>
      <bottom style="thin"/>
    </border>
    <border>
      <left style="thin">
        <color rgb="FF000000"/>
      </left>
      <right style="thin"/>
      <top/>
      <bottom style="thin"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/>
      <bottom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medium"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83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65" fontId="3" fillId="0" borderId="0" xfId="0" applyNumberFormat="1" applyFont="1" applyFill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3" fillId="0" borderId="0" xfId="54" applyFont="1" applyFill="1" applyBorder="1" applyAlignment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55" applyNumberFormat="1" applyFont="1" applyFill="1" applyBorder="1" applyAlignment="1">
      <alignment horizontal="center" vertical="center" wrapText="1"/>
      <protection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2" fillId="0" borderId="11" xfId="55" applyNumberFormat="1" applyFont="1" applyFill="1" applyBorder="1" applyAlignment="1">
      <alignment horizontal="center" vertical="center" wrapText="1"/>
      <protection/>
    </xf>
    <xf numFmtId="0" fontId="2" fillId="0" borderId="13" xfId="55" applyNumberFormat="1" applyFont="1" applyFill="1" applyBorder="1" applyAlignment="1">
      <alignment horizontal="center" vertical="center" wrapText="1"/>
      <protection/>
    </xf>
    <xf numFmtId="164" fontId="2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65" fontId="3" fillId="0" borderId="0" xfId="0" applyNumberFormat="1" applyFont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5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3" fillId="0" borderId="18" xfId="53" applyNumberFormat="1" applyFont="1" applyFill="1" applyBorder="1" applyAlignment="1">
      <alignment horizontal="center" vertical="center" wrapText="1"/>
      <protection/>
    </xf>
    <xf numFmtId="49" fontId="3" fillId="0" borderId="19" xfId="53" applyNumberFormat="1" applyFont="1" applyFill="1" applyBorder="1" applyAlignment="1">
      <alignment horizontal="center" vertical="center" wrapText="1"/>
      <protection/>
    </xf>
    <xf numFmtId="165" fontId="3" fillId="0" borderId="19" xfId="53" applyNumberFormat="1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>
      <alignment vertical="center" wrapText="1"/>
    </xf>
    <xf numFmtId="165" fontId="2" fillId="0" borderId="13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left" vertical="center" wrapText="1" shrinkToFit="1"/>
    </xf>
    <xf numFmtId="4" fontId="2" fillId="33" borderId="22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 horizontal="left"/>
    </xf>
    <xf numFmtId="49" fontId="3" fillId="0" borderId="0" xfId="54" applyNumberFormat="1" applyFont="1" applyFill="1" applyAlignment="1">
      <alignment horizontal="center" vertical="top" wrapText="1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52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 applyProtection="1">
      <alignment vertical="center" wrapText="1"/>
      <protection locked="0"/>
    </xf>
    <xf numFmtId="0" fontId="2" fillId="0" borderId="2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horizontal="left" vertical="center" shrinkToFit="1"/>
    </xf>
    <xf numFmtId="165" fontId="2" fillId="0" borderId="0" xfId="0" applyNumberFormat="1" applyFont="1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left" vertical="center" shrinkToFit="1"/>
    </xf>
    <xf numFmtId="0" fontId="9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165" fontId="7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shrinkToFit="1"/>
    </xf>
    <xf numFmtId="0" fontId="3" fillId="33" borderId="10" xfId="53" applyFont="1" applyFill="1" applyBorder="1" applyAlignment="1">
      <alignment horizontal="center" vertical="center" wrapText="1"/>
      <protection/>
    </xf>
    <xf numFmtId="49" fontId="3" fillId="33" borderId="10" xfId="53" applyNumberFormat="1" applyFont="1" applyFill="1" applyBorder="1" applyAlignment="1">
      <alignment horizontal="center" vertical="center" wrapText="1"/>
      <protection/>
    </xf>
    <xf numFmtId="164" fontId="3" fillId="33" borderId="10" xfId="53" applyNumberFormat="1" applyFont="1" applyFill="1" applyBorder="1" applyAlignment="1">
      <alignment horizontal="center" vertical="center" wrapText="1"/>
      <protection/>
    </xf>
    <xf numFmtId="4" fontId="3" fillId="33" borderId="10" xfId="53" applyNumberFormat="1" applyFont="1" applyFill="1" applyBorder="1" applyAlignment="1">
      <alignment horizontal="center" vertical="center" wrapText="1"/>
      <protection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2" fontId="2" fillId="33" borderId="15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wrapText="1"/>
    </xf>
    <xf numFmtId="165" fontId="2" fillId="0" borderId="0" xfId="0" applyNumberFormat="1" applyFont="1" applyAlignment="1">
      <alignment wrapText="1"/>
    </xf>
    <xf numFmtId="0" fontId="29" fillId="0" borderId="0" xfId="0" applyFont="1" applyAlignment="1">
      <alignment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165" fontId="7" fillId="0" borderId="0" xfId="0" applyNumberFormat="1" applyFont="1" applyFill="1" applyAlignment="1">
      <alignment horizontal="left" wrapText="1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165" fontId="3" fillId="0" borderId="10" xfId="53" applyNumberFormat="1" applyFont="1" applyFill="1" applyBorder="1" applyAlignment="1">
      <alignment horizontal="center" vertical="center" wrapText="1"/>
      <protection/>
    </xf>
    <xf numFmtId="165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top" wrapText="1"/>
    </xf>
    <xf numFmtId="167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33" borderId="10" xfId="55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shrinkToFit="1"/>
    </xf>
    <xf numFmtId="0" fontId="29" fillId="0" borderId="0" xfId="0" applyFont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2" fontId="2" fillId="0" borderId="10" xfId="0" applyNumberFormat="1" applyFont="1" applyFill="1" applyBorder="1" applyAlignment="1">
      <alignment vertical="center" wrapText="1"/>
    </xf>
    <xf numFmtId="166" fontId="2" fillId="0" borderId="11" xfId="0" applyNumberFormat="1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29" fillId="0" borderId="0" xfId="0" applyFont="1" applyAlignment="1">
      <alignment vertical="center"/>
    </xf>
    <xf numFmtId="165" fontId="2" fillId="0" borderId="12" xfId="0" applyNumberFormat="1" applyFont="1" applyFill="1" applyBorder="1" applyAlignment="1">
      <alignment horizontal="center" vertical="center" wrapText="1"/>
    </xf>
    <xf numFmtId="165" fontId="2" fillId="0" borderId="11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49" fontId="2" fillId="33" borderId="12" xfId="0" applyNumberFormat="1" applyFont="1" applyFill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center" vertical="center" wrapText="1"/>
    </xf>
    <xf numFmtId="0" fontId="2" fillId="33" borderId="12" xfId="55" applyNumberFormat="1" applyFont="1" applyFill="1" applyBorder="1" applyAlignment="1">
      <alignment horizontal="center" vertical="center" wrapText="1"/>
      <protection/>
    </xf>
    <xf numFmtId="0" fontId="2" fillId="33" borderId="12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/>
    </xf>
    <xf numFmtId="0" fontId="29" fillId="0" borderId="0" xfId="0" applyFont="1" applyAlignment="1">
      <alignment horizont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shrinkToFit="1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 shrinkToFi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2" fontId="2" fillId="33" borderId="13" xfId="0" applyNumberFormat="1" applyFont="1" applyFill="1" applyBorder="1" applyAlignment="1">
      <alignment horizontal="center" vertical="center" wrapText="1"/>
    </xf>
    <xf numFmtId="2" fontId="2" fillId="33" borderId="10" xfId="62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33" borderId="23" xfId="0" applyFont="1" applyFill="1" applyBorder="1" applyAlignment="1">
      <alignment horizontal="center" vertical="center" wrapText="1"/>
    </xf>
    <xf numFmtId="49" fontId="3" fillId="33" borderId="25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top" wrapText="1"/>
    </xf>
    <xf numFmtId="0" fontId="2" fillId="33" borderId="11" xfId="55" applyNumberFormat="1" applyFont="1" applyFill="1" applyBorder="1" applyAlignment="1">
      <alignment horizontal="center" vertical="center" wrapText="1"/>
      <protection/>
    </xf>
    <xf numFmtId="0" fontId="2" fillId="33" borderId="11" xfId="55" applyNumberFormat="1" applyFont="1" applyFill="1" applyBorder="1" applyAlignment="1">
      <alignment vertical="center" wrapText="1"/>
      <protection/>
    </xf>
    <xf numFmtId="2" fontId="2" fillId="33" borderId="2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5" fontId="3" fillId="0" borderId="0" xfId="0" applyNumberFormat="1" applyFont="1" applyFill="1" applyAlignment="1" applyProtection="1">
      <alignment horizontal="left" vertical="center"/>
      <protection locked="0"/>
    </xf>
    <xf numFmtId="49" fontId="2" fillId="0" borderId="26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2" fillId="0" borderId="0" xfId="0" applyFont="1" applyAlignment="1">
      <alignment horizontal="left" vertical="center" shrinkToFit="1"/>
    </xf>
    <xf numFmtId="4" fontId="2" fillId="0" borderId="0" xfId="0" applyNumberFormat="1" applyFont="1" applyFill="1" applyAlignment="1">
      <alignment horizontal="left" vertical="center"/>
    </xf>
    <xf numFmtId="165" fontId="2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165" fontId="3" fillId="0" borderId="0" xfId="0" applyNumberFormat="1" applyFont="1" applyFill="1" applyAlignment="1" applyProtection="1">
      <alignment horizontal="center" vertical="center" wrapText="1"/>
      <protection locked="0"/>
    </xf>
    <xf numFmtId="49" fontId="3" fillId="0" borderId="27" xfId="53" applyNumberFormat="1" applyFont="1" applyFill="1" applyBorder="1" applyAlignment="1">
      <alignment horizontal="center" vertical="center" wrapText="1"/>
      <protection/>
    </xf>
    <xf numFmtId="49" fontId="2" fillId="0" borderId="28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  <xf numFmtId="165" fontId="2" fillId="33" borderId="15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164" fontId="2" fillId="33" borderId="12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3" fillId="0" borderId="30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0" xfId="55" applyNumberFormat="1" applyFont="1" applyFill="1" applyBorder="1" applyAlignment="1">
      <alignment horizontal="center" vertical="center" wrapText="1"/>
      <protection/>
    </xf>
    <xf numFmtId="0" fontId="2" fillId="0" borderId="28" xfId="0" applyFont="1" applyFill="1" applyBorder="1" applyAlignment="1">
      <alignment horizontal="center" vertical="center"/>
    </xf>
    <xf numFmtId="0" fontId="2" fillId="0" borderId="33" xfId="55" applyNumberFormat="1" applyFont="1" applyFill="1" applyBorder="1" applyAlignment="1">
      <alignment horizontal="center" vertical="center" wrapText="1"/>
      <protection/>
    </xf>
    <xf numFmtId="0" fontId="2" fillId="0" borderId="34" xfId="55" applyNumberFormat="1" applyFont="1" applyFill="1" applyBorder="1" applyAlignment="1">
      <alignment horizontal="center" vertical="center" wrapText="1"/>
      <protection/>
    </xf>
    <xf numFmtId="0" fontId="2" fillId="0" borderId="3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2" fontId="2" fillId="0" borderId="37" xfId="0" applyNumberFormat="1" applyFont="1" applyFill="1" applyBorder="1" applyAlignment="1">
      <alignment horizontal="center" vertical="center" wrapText="1"/>
    </xf>
    <xf numFmtId="164" fontId="2" fillId="0" borderId="21" xfId="0" applyNumberFormat="1" applyFont="1" applyFill="1" applyBorder="1" applyAlignment="1">
      <alignment horizontal="center" vertical="center" wrapText="1"/>
    </xf>
    <xf numFmtId="0" fontId="2" fillId="0" borderId="38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 vertical="center"/>
    </xf>
    <xf numFmtId="49" fontId="3" fillId="0" borderId="0" xfId="54" applyNumberFormat="1" applyFont="1" applyFill="1" applyAlignment="1">
      <alignment horizontal="center" vertical="center" wrapText="1"/>
      <protection/>
    </xf>
    <xf numFmtId="164" fontId="52" fillId="33" borderId="10" xfId="0" applyNumberFormat="1" applyFont="1" applyFill="1" applyBorder="1" applyAlignment="1">
      <alignment horizontal="center" vertical="center" wrapText="1"/>
    </xf>
    <xf numFmtId="2" fontId="52" fillId="33" borderId="10" xfId="0" applyNumberFormat="1" applyFont="1" applyFill="1" applyBorder="1" applyAlignment="1">
      <alignment horizontal="center" vertical="center" wrapText="1"/>
    </xf>
    <xf numFmtId="49" fontId="53" fillId="33" borderId="10" xfId="53" applyNumberFormat="1" applyFont="1" applyFill="1" applyBorder="1" applyAlignment="1">
      <alignment horizontal="center" vertical="center" wrapText="1"/>
      <protection/>
    </xf>
    <xf numFmtId="165" fontId="53" fillId="33" borderId="10" xfId="53" applyNumberFormat="1" applyFont="1" applyFill="1" applyBorder="1" applyAlignment="1">
      <alignment horizontal="center" vertical="center" wrapText="1"/>
      <protection/>
    </xf>
    <xf numFmtId="49" fontId="52" fillId="33" borderId="10" xfId="0" applyNumberFormat="1" applyFont="1" applyFill="1" applyBorder="1" applyAlignment="1">
      <alignment horizontal="center" vertical="center" wrapText="1"/>
    </xf>
    <xf numFmtId="0" fontId="52" fillId="33" borderId="10" xfId="0" applyNumberFormat="1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165" fontId="52" fillId="0" borderId="10" xfId="0" applyNumberFormat="1" applyFont="1" applyFill="1" applyBorder="1" applyAlignment="1">
      <alignment horizontal="center" vertical="center" wrapText="1"/>
    </xf>
    <xf numFmtId="2" fontId="52" fillId="33" borderId="39" xfId="0" applyNumberFormat="1" applyFont="1" applyFill="1" applyBorder="1" applyAlignment="1">
      <alignment horizontal="center" vertical="center" wrapText="1"/>
    </xf>
    <xf numFmtId="2" fontId="52" fillId="33" borderId="10" xfId="0" applyNumberFormat="1" applyFont="1" applyFill="1" applyBorder="1" applyAlignment="1">
      <alignment horizontal="center" vertical="center"/>
    </xf>
    <xf numFmtId="49" fontId="52" fillId="33" borderId="13" xfId="0" applyNumberFormat="1" applyFont="1" applyFill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4" fontId="52" fillId="33" borderId="10" xfId="0" applyNumberFormat="1" applyFont="1" applyFill="1" applyBorder="1" applyAlignment="1">
      <alignment horizontal="center" vertical="center" wrapText="1"/>
    </xf>
    <xf numFmtId="4" fontId="52" fillId="0" borderId="14" xfId="0" applyNumberFormat="1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164" fontId="52" fillId="33" borderId="10" xfId="0" applyNumberFormat="1" applyFont="1" applyFill="1" applyBorder="1" applyAlignment="1">
      <alignment horizontal="center" vertical="center"/>
    </xf>
    <xf numFmtId="164" fontId="52" fillId="33" borderId="14" xfId="0" applyNumberFormat="1" applyFont="1" applyFill="1" applyBorder="1" applyAlignment="1">
      <alignment horizontal="center" vertical="center"/>
    </xf>
    <xf numFmtId="164" fontId="52" fillId="0" borderId="14" xfId="0" applyNumberFormat="1" applyFont="1" applyFill="1" applyBorder="1" applyAlignment="1">
      <alignment horizontal="center" vertical="center"/>
    </xf>
    <xf numFmtId="0" fontId="52" fillId="33" borderId="10" xfId="55" applyNumberFormat="1" applyFont="1" applyFill="1" applyBorder="1" applyAlignment="1">
      <alignment horizontal="center" vertical="center" wrapText="1"/>
      <protection/>
    </xf>
    <xf numFmtId="164" fontId="52" fillId="33" borderId="14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2" fontId="52" fillId="0" borderId="10" xfId="0" applyNumberFormat="1" applyFont="1" applyFill="1" applyBorder="1" applyAlignment="1">
      <alignment horizontal="center" vertical="center" wrapText="1"/>
    </xf>
    <xf numFmtId="164" fontId="52" fillId="0" borderId="14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/>
    </xf>
    <xf numFmtId="0" fontId="54" fillId="33" borderId="10" xfId="0" applyFont="1" applyFill="1" applyBorder="1" applyAlignment="1">
      <alignment horizontal="center" vertical="center" wrapText="1"/>
    </xf>
    <xf numFmtId="2" fontId="52" fillId="33" borderId="10" xfId="0" applyNumberFormat="1" applyFont="1" applyFill="1" applyBorder="1" applyAlignment="1">
      <alignment vertical="center"/>
    </xf>
    <xf numFmtId="0" fontId="52" fillId="33" borderId="10" xfId="0" applyFont="1" applyFill="1" applyBorder="1" applyAlignment="1">
      <alignment horizontal="center" vertical="top"/>
    </xf>
    <xf numFmtId="49" fontId="53" fillId="33" borderId="10" xfId="0" applyNumberFormat="1" applyFont="1" applyFill="1" applyBorder="1" applyAlignment="1">
      <alignment horizontal="center" vertical="center" wrapText="1"/>
    </xf>
    <xf numFmtId="2" fontId="52" fillId="33" borderId="15" xfId="0" applyNumberFormat="1" applyFont="1" applyFill="1" applyBorder="1" applyAlignment="1">
      <alignment horizontal="center" vertical="center"/>
    </xf>
    <xf numFmtId="4" fontId="52" fillId="33" borderId="10" xfId="0" applyNumberFormat="1" applyFont="1" applyFill="1" applyBorder="1" applyAlignment="1">
      <alignment horizontal="center" vertical="center"/>
    </xf>
    <xf numFmtId="0" fontId="52" fillId="33" borderId="24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4" fontId="54" fillId="0" borderId="10" xfId="0" applyNumberFormat="1" applyFont="1" applyFill="1" applyBorder="1" applyAlignment="1">
      <alignment horizontal="center" vertical="center"/>
    </xf>
    <xf numFmtId="164" fontId="54" fillId="33" borderId="14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/>
    </xf>
    <xf numFmtId="0" fontId="52" fillId="33" borderId="12" xfId="55" applyNumberFormat="1" applyFont="1" applyFill="1" applyBorder="1" applyAlignment="1">
      <alignment horizontal="center" vertical="center" wrapText="1"/>
      <protection/>
    </xf>
    <xf numFmtId="0" fontId="52" fillId="33" borderId="13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2" fontId="52" fillId="0" borderId="10" xfId="0" applyNumberFormat="1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49" fontId="53" fillId="0" borderId="11" xfId="0" applyNumberFormat="1" applyFont="1" applyFill="1" applyBorder="1" applyAlignment="1">
      <alignment horizontal="center" vertical="center" wrapText="1"/>
    </xf>
    <xf numFmtId="0" fontId="52" fillId="33" borderId="11" xfId="0" applyNumberFormat="1" applyFont="1" applyFill="1" applyBorder="1" applyAlignment="1">
      <alignment horizontal="center" vertical="center" wrapText="1"/>
    </xf>
    <xf numFmtId="0" fontId="52" fillId="33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4" fontId="2" fillId="0" borderId="40" xfId="0" applyNumberFormat="1" applyFont="1" applyFill="1" applyBorder="1" applyAlignment="1">
      <alignment horizontal="center" vertical="center"/>
    </xf>
    <xf numFmtId="4" fontId="2" fillId="0" borderId="40" xfId="0" applyNumberFormat="1" applyFont="1" applyFill="1" applyBorder="1" applyAlignment="1">
      <alignment horizontal="center" vertical="center" wrapText="1"/>
    </xf>
    <xf numFmtId="2" fontId="52" fillId="0" borderId="10" xfId="0" applyNumberFormat="1" applyFont="1" applyFill="1" applyBorder="1" applyAlignment="1">
      <alignment horizontal="center" vertical="center" wrapText="1"/>
    </xf>
    <xf numFmtId="2" fontId="52" fillId="0" borderId="10" xfId="0" applyNumberFormat="1" applyFont="1" applyFill="1" applyBorder="1" applyAlignment="1">
      <alignment horizontal="center" vertical="center"/>
    </xf>
    <xf numFmtId="164" fontId="52" fillId="0" borderId="10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55" applyNumberFormat="1" applyFont="1" applyFill="1" applyBorder="1" applyAlignment="1">
      <alignment horizontal="center" vertical="center" wrapText="1"/>
      <protection/>
    </xf>
    <xf numFmtId="49" fontId="53" fillId="0" borderId="10" xfId="0" applyNumberFormat="1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center" vertical="center" wrapText="1"/>
    </xf>
    <xf numFmtId="49" fontId="53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55" applyNumberFormat="1" applyFont="1" applyFill="1" applyBorder="1" applyAlignment="1">
      <alignment horizontal="center" vertical="center" wrapText="1"/>
      <protection/>
    </xf>
    <xf numFmtId="49" fontId="52" fillId="0" borderId="10" xfId="0" applyNumberFormat="1" applyFont="1" applyFill="1" applyBorder="1" applyAlignment="1">
      <alignment horizontal="center" vertical="center" wrapText="1"/>
    </xf>
    <xf numFmtId="2" fontId="52" fillId="33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wrapText="1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/>
    </xf>
    <xf numFmtId="49" fontId="3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49" fontId="3" fillId="0" borderId="41" xfId="0" applyNumberFormat="1" applyFont="1" applyFill="1" applyBorder="1" applyAlignment="1">
      <alignment horizontal="center" vertical="center" wrapText="1"/>
    </xf>
    <xf numFmtId="49" fontId="3" fillId="0" borderId="42" xfId="0" applyNumberFormat="1" applyFont="1" applyFill="1" applyBorder="1" applyAlignment="1">
      <alignment horizontal="center" vertical="center" wrapText="1"/>
    </xf>
    <xf numFmtId="165" fontId="3" fillId="0" borderId="42" xfId="0" applyNumberFormat="1" applyFont="1" applyFill="1" applyBorder="1" applyAlignment="1">
      <alignment horizontal="center" vertical="center" wrapText="1"/>
    </xf>
    <xf numFmtId="49" fontId="3" fillId="0" borderId="43" xfId="0" applyNumberFormat="1" applyFont="1" applyFill="1" applyBorder="1" applyAlignment="1">
      <alignment horizontal="center" vertical="center" wrapText="1"/>
    </xf>
    <xf numFmtId="49" fontId="2" fillId="0" borderId="40" xfId="0" applyNumberFormat="1" applyFont="1" applyFill="1" applyBorder="1" applyAlignment="1">
      <alignment horizontal="center" vertical="center" wrapText="1"/>
    </xf>
    <xf numFmtId="2" fontId="2" fillId="0" borderId="4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49" fontId="2" fillId="0" borderId="44" xfId="0" applyNumberFormat="1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2" fontId="55" fillId="0" borderId="10" xfId="0" applyNumberFormat="1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49" fontId="3" fillId="0" borderId="40" xfId="0" applyNumberFormat="1" applyFont="1" applyFill="1" applyBorder="1" applyAlignment="1">
      <alignment horizontal="center" vertical="center" wrapText="1"/>
    </xf>
    <xf numFmtId="2" fontId="2" fillId="0" borderId="4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53" fillId="0" borderId="18" xfId="53" applyNumberFormat="1" applyFont="1" applyFill="1" applyBorder="1" applyAlignment="1">
      <alignment horizontal="center" vertical="center" wrapText="1"/>
      <protection/>
    </xf>
    <xf numFmtId="49" fontId="53" fillId="0" borderId="19" xfId="53" applyNumberFormat="1" applyFont="1" applyFill="1" applyBorder="1" applyAlignment="1">
      <alignment horizontal="center" vertical="center" wrapText="1"/>
      <protection/>
    </xf>
    <xf numFmtId="165" fontId="53" fillId="0" borderId="19" xfId="53" applyNumberFormat="1" applyFont="1" applyFill="1" applyBorder="1" applyAlignment="1">
      <alignment horizontal="center" vertical="center" wrapText="1"/>
      <protection/>
    </xf>
    <xf numFmtId="0" fontId="53" fillId="0" borderId="47" xfId="0" applyFont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20" xfId="0" applyFont="1" applyBorder="1" applyAlignment="1">
      <alignment vertical="center" wrapText="1"/>
    </xf>
    <xf numFmtId="0" fontId="52" fillId="0" borderId="20" xfId="0" applyFont="1" applyFill="1" applyBorder="1" applyAlignment="1">
      <alignment horizontal="center" vertical="center" wrapText="1"/>
    </xf>
    <xf numFmtId="0" fontId="52" fillId="0" borderId="2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26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0" fontId="52" fillId="0" borderId="10" xfId="55" applyNumberFormat="1" applyFont="1" applyFill="1" applyBorder="1" applyAlignment="1">
      <alignment horizontal="center" vertical="center"/>
      <protection/>
    </xf>
    <xf numFmtId="0" fontId="52" fillId="33" borderId="26" xfId="0" applyNumberFormat="1" applyFont="1" applyFill="1" applyBorder="1" applyAlignment="1">
      <alignment horizontal="center" vertical="center"/>
    </xf>
    <xf numFmtId="0" fontId="52" fillId="33" borderId="20" xfId="0" applyFont="1" applyFill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33" borderId="20" xfId="0" applyFont="1" applyFill="1" applyBorder="1" applyAlignment="1">
      <alignment horizontal="center" vertical="center" wrapText="1"/>
    </xf>
    <xf numFmtId="49" fontId="52" fillId="0" borderId="26" xfId="0" applyNumberFormat="1" applyFont="1" applyFill="1" applyBorder="1" applyAlignment="1">
      <alignment horizontal="center" vertical="center" wrapText="1"/>
    </xf>
    <xf numFmtId="0" fontId="52" fillId="0" borderId="26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49" fontId="53" fillId="0" borderId="0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NumberFormat="1" applyFont="1" applyFill="1" applyBorder="1" applyAlignment="1">
      <alignment horizontal="center" vertical="center" wrapText="1"/>
    </xf>
    <xf numFmtId="2" fontId="52" fillId="0" borderId="0" xfId="0" applyNumberFormat="1" applyFont="1" applyFill="1" applyBorder="1" applyAlignment="1">
      <alignment horizontal="center" vertical="center"/>
    </xf>
    <xf numFmtId="2" fontId="52" fillId="33" borderId="0" xfId="0" applyNumberFormat="1" applyFont="1" applyFill="1" applyBorder="1" applyAlignment="1">
      <alignment horizontal="center" vertical="center" wrapText="1"/>
    </xf>
    <xf numFmtId="164" fontId="52" fillId="33" borderId="0" xfId="0" applyNumberFormat="1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2" fontId="52" fillId="0" borderId="0" xfId="0" applyNumberFormat="1" applyFont="1" applyFill="1" applyBorder="1" applyAlignment="1">
      <alignment horizontal="center" vertical="center" wrapText="1"/>
    </xf>
    <xf numFmtId="164" fontId="52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left" vertical="center"/>
    </xf>
    <xf numFmtId="49" fontId="53" fillId="0" borderId="0" xfId="0" applyNumberFormat="1" applyFont="1" applyFill="1" applyAlignment="1">
      <alignment horizontal="left" vertical="center"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Border="1" applyAlignment="1">
      <alignment vertical="center"/>
    </xf>
    <xf numFmtId="165" fontId="52" fillId="0" borderId="0" xfId="0" applyNumberFormat="1" applyFont="1" applyFill="1" applyBorder="1" applyAlignment="1">
      <alignment vertical="center"/>
    </xf>
    <xf numFmtId="4" fontId="52" fillId="0" borderId="0" xfId="0" applyNumberFormat="1" applyFont="1" applyFill="1" applyBorder="1" applyAlignment="1">
      <alignment horizontal="left" vertical="center" shrinkToFit="1"/>
    </xf>
    <xf numFmtId="0" fontId="52" fillId="0" borderId="0" xfId="0" applyFont="1" applyFill="1" applyAlignment="1">
      <alignment horizontal="left" vertical="center"/>
    </xf>
    <xf numFmtId="0" fontId="52" fillId="0" borderId="0" xfId="0" applyFont="1" applyFill="1" applyBorder="1" applyAlignment="1">
      <alignment/>
    </xf>
    <xf numFmtId="165" fontId="52" fillId="0" borderId="0" xfId="0" applyNumberFormat="1" applyFont="1" applyFill="1" applyBorder="1" applyAlignment="1">
      <alignment/>
    </xf>
    <xf numFmtId="0" fontId="52" fillId="0" borderId="0" xfId="0" applyFont="1" applyFill="1" applyBorder="1" applyAlignment="1">
      <alignment horizontal="left" shrinkToFit="1"/>
    </xf>
    <xf numFmtId="49" fontId="52" fillId="0" borderId="0" xfId="0" applyNumberFormat="1" applyFont="1" applyFill="1" applyBorder="1" applyAlignment="1">
      <alignment vertical="center" wrapText="1"/>
    </xf>
    <xf numFmtId="165" fontId="52" fillId="0" borderId="0" xfId="0" applyNumberFormat="1" applyFont="1" applyFill="1" applyBorder="1" applyAlignment="1">
      <alignment vertical="center" wrapText="1"/>
    </xf>
    <xf numFmtId="49" fontId="52" fillId="0" borderId="0" xfId="0" applyNumberFormat="1" applyFont="1" applyFill="1" applyBorder="1" applyAlignment="1">
      <alignment horizontal="left" vertical="center" wrapText="1" shrinkToFit="1"/>
    </xf>
    <xf numFmtId="49" fontId="52" fillId="0" borderId="0" xfId="0" applyNumberFormat="1" applyFont="1" applyBorder="1" applyAlignment="1">
      <alignment horizontal="center" vertical="center" wrapText="1"/>
    </xf>
    <xf numFmtId="165" fontId="52" fillId="0" borderId="0" xfId="0" applyNumberFormat="1" applyFont="1" applyBorder="1" applyAlignment="1">
      <alignment horizontal="center" vertical="center" wrapText="1"/>
    </xf>
    <xf numFmtId="49" fontId="52" fillId="0" borderId="0" xfId="0" applyNumberFormat="1" applyFont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/>
    </xf>
    <xf numFmtId="49" fontId="57" fillId="0" borderId="0" xfId="0" applyNumberFormat="1" applyFont="1" applyFill="1" applyBorder="1" applyAlignment="1">
      <alignment horizontal="center" vertical="center" wrapText="1"/>
    </xf>
    <xf numFmtId="2" fontId="56" fillId="0" borderId="0" xfId="0" applyNumberFormat="1" applyFont="1" applyFill="1" applyBorder="1" applyAlignment="1">
      <alignment horizontal="center" vertical="center"/>
    </xf>
    <xf numFmtId="0" fontId="56" fillId="0" borderId="0" xfId="0" applyNumberFormat="1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left" vertical="center"/>
    </xf>
    <xf numFmtId="2" fontId="56" fillId="33" borderId="10" xfId="0" applyNumberFormat="1" applyFont="1" applyFill="1" applyBorder="1" applyAlignment="1">
      <alignment horizontal="center" vertical="center" wrapText="1"/>
    </xf>
    <xf numFmtId="164" fontId="56" fillId="0" borderId="0" xfId="0" applyNumberFormat="1" applyFont="1" applyFill="1" applyBorder="1" applyAlignment="1">
      <alignment horizontal="center" vertical="center" wrapText="1"/>
    </xf>
    <xf numFmtId="49" fontId="57" fillId="0" borderId="10" xfId="0" applyNumberFormat="1" applyFont="1" applyFill="1" applyBorder="1" applyAlignment="1">
      <alignment horizontal="center" vertical="center" wrapText="1"/>
    </xf>
    <xf numFmtId="49" fontId="56" fillId="0" borderId="11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2" fontId="56" fillId="0" borderId="10" xfId="0" applyNumberFormat="1" applyFont="1" applyFill="1" applyBorder="1" applyAlignment="1">
      <alignment horizontal="center" vertical="center" wrapText="1"/>
    </xf>
    <xf numFmtId="164" fontId="56" fillId="33" borderId="10" xfId="0" applyNumberFormat="1" applyFont="1" applyFill="1" applyBorder="1" applyAlignment="1">
      <alignment horizontal="center" vertical="center" wrapText="1"/>
    </xf>
    <xf numFmtId="49" fontId="57" fillId="0" borderId="10" xfId="53" applyNumberFormat="1" applyFont="1" applyFill="1" applyBorder="1" applyAlignment="1">
      <alignment horizontal="center" vertical="center" wrapText="1"/>
      <protection/>
    </xf>
    <xf numFmtId="165" fontId="57" fillId="0" borderId="10" xfId="53" applyNumberFormat="1" applyFont="1" applyFill="1" applyBorder="1" applyAlignment="1">
      <alignment horizontal="center" vertical="center" wrapText="1"/>
      <protection/>
    </xf>
    <xf numFmtId="49" fontId="56" fillId="33" borderId="10" xfId="0" applyNumberFormat="1" applyFont="1" applyFill="1" applyBorder="1" applyAlignment="1">
      <alignment horizontal="center" vertical="center" wrapText="1"/>
    </xf>
    <xf numFmtId="49" fontId="56" fillId="33" borderId="11" xfId="0" applyNumberFormat="1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2" fontId="56" fillId="0" borderId="13" xfId="0" applyNumberFormat="1" applyFont="1" applyFill="1" applyBorder="1" applyAlignment="1">
      <alignment horizontal="center" vertical="center"/>
    </xf>
    <xf numFmtId="49" fontId="56" fillId="0" borderId="48" xfId="0" applyNumberFormat="1" applyFont="1" applyFill="1" applyBorder="1" applyAlignment="1">
      <alignment horizontal="center" vertical="center" wrapText="1"/>
    </xf>
    <xf numFmtId="49" fontId="56" fillId="33" borderId="19" xfId="0" applyNumberFormat="1" applyFont="1" applyFill="1" applyBorder="1" applyAlignment="1">
      <alignment horizontal="center" vertical="center" wrapText="1"/>
    </xf>
    <xf numFmtId="49" fontId="56" fillId="33" borderId="21" xfId="0" applyNumberFormat="1" applyFont="1" applyFill="1" applyBorder="1" applyAlignment="1">
      <alignment horizontal="center" vertical="center" wrapText="1"/>
    </xf>
    <xf numFmtId="0" fontId="56" fillId="0" borderId="49" xfId="0" applyFont="1" applyBorder="1" applyAlignment="1">
      <alignment horizontal="center" vertical="center" wrapText="1"/>
    </xf>
    <xf numFmtId="2" fontId="56" fillId="0" borderId="21" xfId="0" applyNumberFormat="1" applyFont="1" applyFill="1" applyBorder="1" applyAlignment="1">
      <alignment horizontal="center" vertical="center"/>
    </xf>
    <xf numFmtId="164" fontId="56" fillId="0" borderId="21" xfId="0" applyNumberFormat="1" applyFont="1" applyFill="1" applyBorder="1" applyAlignment="1">
      <alignment horizontal="center" vertical="center"/>
    </xf>
    <xf numFmtId="0" fontId="56" fillId="0" borderId="50" xfId="0" applyFont="1" applyBorder="1" applyAlignment="1">
      <alignment horizontal="center" vertical="center" wrapText="1"/>
    </xf>
    <xf numFmtId="164" fontId="56" fillId="33" borderId="19" xfId="0" applyNumberFormat="1" applyFont="1" applyFill="1" applyBorder="1" applyAlignment="1">
      <alignment horizontal="center" vertical="center" wrapText="1"/>
    </xf>
    <xf numFmtId="0" fontId="56" fillId="0" borderId="47" xfId="0" applyFont="1" applyBorder="1" applyAlignment="1">
      <alignment horizontal="center" vertical="center" wrapText="1"/>
    </xf>
    <xf numFmtId="4" fontId="56" fillId="33" borderId="21" xfId="0" applyNumberFormat="1" applyFont="1" applyFill="1" applyBorder="1" applyAlignment="1">
      <alignment horizontal="center" vertical="center" wrapText="1"/>
    </xf>
    <xf numFmtId="164" fontId="56" fillId="33" borderId="21" xfId="0" applyNumberFormat="1" applyFont="1" applyFill="1" applyBorder="1" applyAlignment="1">
      <alignment horizontal="center" vertical="center" wrapText="1"/>
    </xf>
    <xf numFmtId="164" fontId="56" fillId="0" borderId="13" xfId="0" applyNumberFormat="1" applyFont="1" applyFill="1" applyBorder="1" applyAlignment="1">
      <alignment horizontal="center" vertical="center"/>
    </xf>
    <xf numFmtId="0" fontId="56" fillId="0" borderId="35" xfId="0" applyFont="1" applyBorder="1" applyAlignment="1">
      <alignment horizontal="center" vertical="center" wrapText="1"/>
    </xf>
    <xf numFmtId="2" fontId="56" fillId="33" borderId="19" xfId="0" applyNumberFormat="1" applyFont="1" applyFill="1" applyBorder="1" applyAlignment="1">
      <alignment horizontal="center" vertical="center" wrapText="1"/>
    </xf>
    <xf numFmtId="2" fontId="56" fillId="33" borderId="21" xfId="0" applyNumberFormat="1" applyFont="1" applyFill="1" applyBorder="1" applyAlignment="1">
      <alignment horizontal="center" vertical="center" wrapText="1"/>
    </xf>
    <xf numFmtId="2" fontId="56" fillId="0" borderId="19" xfId="0" applyNumberFormat="1" applyFont="1" applyFill="1" applyBorder="1" applyAlignment="1">
      <alignment horizontal="center" vertical="center"/>
    </xf>
    <xf numFmtId="2" fontId="56" fillId="0" borderId="51" xfId="0" applyNumberFormat="1" applyFont="1" applyFill="1" applyBorder="1" applyAlignment="1">
      <alignment horizontal="center" vertical="center"/>
    </xf>
    <xf numFmtId="0" fontId="56" fillId="0" borderId="52" xfId="55" applyNumberFormat="1" applyFont="1" applyFill="1" applyBorder="1" applyAlignment="1">
      <alignment horizontal="center" vertical="center" wrapText="1"/>
      <protection/>
    </xf>
    <xf numFmtId="0" fontId="56" fillId="33" borderId="53" xfId="55" applyNumberFormat="1" applyFont="1" applyFill="1" applyBorder="1" applyAlignment="1">
      <alignment horizontal="center" vertical="center" wrapText="1"/>
      <protection/>
    </xf>
    <xf numFmtId="2" fontId="56" fillId="0" borderId="19" xfId="0" applyNumberFormat="1" applyFont="1" applyFill="1" applyBorder="1" applyAlignment="1">
      <alignment horizontal="center" vertical="center" wrapText="1"/>
    </xf>
    <xf numFmtId="2" fontId="56" fillId="0" borderId="21" xfId="0" applyNumberFormat="1" applyFont="1" applyFill="1" applyBorder="1" applyAlignment="1">
      <alignment horizontal="center" vertical="center" wrapText="1"/>
    </xf>
    <xf numFmtId="2" fontId="56" fillId="0" borderId="52" xfId="0" applyNumberFormat="1" applyFont="1" applyFill="1" applyBorder="1" applyAlignment="1">
      <alignment horizontal="center" vertical="center" wrapText="1"/>
    </xf>
    <xf numFmtId="0" fontId="56" fillId="0" borderId="54" xfId="0" applyFont="1" applyFill="1" applyBorder="1" applyAlignment="1">
      <alignment horizontal="center" vertical="center"/>
    </xf>
    <xf numFmtId="49" fontId="57" fillId="0" borderId="52" xfId="0" applyNumberFormat="1" applyFont="1" applyFill="1" applyBorder="1" applyAlignment="1">
      <alignment horizontal="center" vertical="center" wrapText="1"/>
    </xf>
    <xf numFmtId="0" fontId="56" fillId="0" borderId="52" xfId="0" applyFont="1" applyFill="1" applyBorder="1" applyAlignment="1">
      <alignment horizontal="center" vertical="center" wrapText="1"/>
    </xf>
    <xf numFmtId="0" fontId="56" fillId="0" borderId="53" xfId="0" applyFont="1" applyFill="1" applyBorder="1" applyAlignment="1">
      <alignment horizontal="center" vertical="center" wrapText="1"/>
    </xf>
    <xf numFmtId="49" fontId="57" fillId="33" borderId="52" xfId="0" applyNumberFormat="1" applyFont="1" applyFill="1" applyBorder="1" applyAlignment="1">
      <alignment horizontal="center" vertical="center" wrapText="1"/>
    </xf>
    <xf numFmtId="0" fontId="56" fillId="33" borderId="52" xfId="55" applyNumberFormat="1" applyFont="1" applyFill="1" applyBorder="1" applyAlignment="1">
      <alignment horizontal="center" vertical="center" wrapText="1"/>
      <protection/>
    </xf>
    <xf numFmtId="164" fontId="56" fillId="0" borderId="52" xfId="0" applyNumberFormat="1" applyFont="1" applyFill="1" applyBorder="1" applyAlignment="1">
      <alignment horizontal="center" vertical="center" wrapText="1"/>
    </xf>
    <xf numFmtId="0" fontId="56" fillId="0" borderId="52" xfId="0" applyFont="1" applyFill="1" applyBorder="1" applyAlignment="1">
      <alignment horizontal="center" vertical="center"/>
    </xf>
    <xf numFmtId="0" fontId="56" fillId="0" borderId="52" xfId="0" applyNumberFormat="1" applyFont="1" applyFill="1" applyBorder="1" applyAlignment="1">
      <alignment horizontal="center" vertical="center" wrapText="1"/>
    </xf>
    <xf numFmtId="2" fontId="56" fillId="0" borderId="52" xfId="0" applyNumberFormat="1" applyFont="1" applyFill="1" applyBorder="1" applyAlignment="1">
      <alignment horizontal="center" vertical="center"/>
    </xf>
    <xf numFmtId="0" fontId="56" fillId="33" borderId="53" xfId="0" applyNumberFormat="1" applyFont="1" applyFill="1" applyBorder="1" applyAlignment="1">
      <alignment horizontal="center" vertical="center" wrapText="1"/>
    </xf>
    <xf numFmtId="0" fontId="56" fillId="0" borderId="55" xfId="55" applyNumberFormat="1" applyFont="1" applyFill="1" applyBorder="1" applyAlignment="1">
      <alignment horizontal="center" vertical="center" wrapText="1"/>
      <protection/>
    </xf>
    <xf numFmtId="49" fontId="56" fillId="0" borderId="19" xfId="0" applyNumberFormat="1" applyFont="1" applyFill="1" applyBorder="1" applyAlignment="1">
      <alignment horizontal="center" vertical="center" wrapText="1"/>
    </xf>
    <xf numFmtId="49" fontId="56" fillId="0" borderId="26" xfId="0" applyNumberFormat="1" applyFont="1" applyFill="1" applyBorder="1" applyAlignment="1">
      <alignment horizontal="center" vertical="center" wrapText="1"/>
    </xf>
    <xf numFmtId="0" fontId="56" fillId="0" borderId="21" xfId="0" applyNumberFormat="1" applyFont="1" applyFill="1" applyBorder="1" applyAlignment="1">
      <alignment horizontal="center" vertical="center" wrapText="1"/>
    </xf>
    <xf numFmtId="49" fontId="56" fillId="0" borderId="21" xfId="0" applyNumberFormat="1" applyFont="1" applyFill="1" applyBorder="1" applyAlignment="1">
      <alignment vertical="center" wrapText="1"/>
    </xf>
    <xf numFmtId="49" fontId="56" fillId="33" borderId="13" xfId="0" applyNumberFormat="1" applyFont="1" applyFill="1" applyBorder="1" applyAlignment="1">
      <alignment horizontal="center" vertical="center" wrapText="1"/>
    </xf>
    <xf numFmtId="49" fontId="56" fillId="0" borderId="31" xfId="0" applyNumberFormat="1" applyFont="1" applyFill="1" applyBorder="1" applyAlignment="1">
      <alignment horizontal="center" vertical="center" wrapText="1"/>
    </xf>
    <xf numFmtId="49" fontId="56" fillId="33" borderId="56" xfId="0" applyNumberFormat="1" applyFont="1" applyFill="1" applyBorder="1" applyAlignment="1">
      <alignment horizontal="center" vertical="center" wrapText="1"/>
    </xf>
    <xf numFmtId="49" fontId="56" fillId="33" borderId="57" xfId="0" applyNumberFormat="1" applyFont="1" applyFill="1" applyBorder="1" applyAlignment="1">
      <alignment horizontal="center" vertical="center" wrapText="1"/>
    </xf>
    <xf numFmtId="49" fontId="56" fillId="33" borderId="58" xfId="0" applyNumberFormat="1" applyFont="1" applyFill="1" applyBorder="1" applyAlignment="1">
      <alignment horizontal="center" vertical="center" wrapText="1"/>
    </xf>
    <xf numFmtId="0" fontId="56" fillId="33" borderId="56" xfId="0" applyNumberFormat="1" applyFont="1" applyFill="1" applyBorder="1" applyAlignment="1">
      <alignment horizontal="center" vertical="center" wrapText="1"/>
    </xf>
    <xf numFmtId="0" fontId="56" fillId="33" borderId="57" xfId="0" applyNumberFormat="1" applyFont="1" applyFill="1" applyBorder="1" applyAlignment="1">
      <alignment horizontal="center" vertical="center" wrapText="1"/>
    </xf>
    <xf numFmtId="0" fontId="56" fillId="33" borderId="58" xfId="0" applyNumberFormat="1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 vertical="center" wrapText="1"/>
    </xf>
    <xf numFmtId="164" fontId="56" fillId="0" borderId="19" xfId="0" applyNumberFormat="1" applyFont="1" applyFill="1" applyBorder="1" applyAlignment="1">
      <alignment horizontal="center" vertical="center"/>
    </xf>
    <xf numFmtId="0" fontId="56" fillId="0" borderId="27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165" fontId="56" fillId="33" borderId="19" xfId="0" applyNumberFormat="1" applyFont="1" applyFill="1" applyBorder="1" applyAlignment="1">
      <alignment horizontal="center" vertical="center" wrapText="1"/>
    </xf>
    <xf numFmtId="165" fontId="56" fillId="33" borderId="10" xfId="0" applyNumberFormat="1" applyFont="1" applyFill="1" applyBorder="1" applyAlignment="1">
      <alignment horizontal="center" vertical="center" wrapText="1"/>
    </xf>
    <xf numFmtId="165" fontId="56" fillId="33" borderId="11" xfId="0" applyNumberFormat="1" applyFont="1" applyFill="1" applyBorder="1" applyAlignment="1">
      <alignment horizontal="center" vertical="center" wrapText="1"/>
    </xf>
    <xf numFmtId="164" fontId="56" fillId="33" borderId="56" xfId="0" applyNumberFormat="1" applyFont="1" applyFill="1" applyBorder="1" applyAlignment="1">
      <alignment horizontal="center" vertical="center" wrapText="1"/>
    </xf>
    <xf numFmtId="164" fontId="56" fillId="33" borderId="57" xfId="0" applyNumberFormat="1" applyFont="1" applyFill="1" applyBorder="1" applyAlignment="1">
      <alignment horizontal="center" vertical="center" wrapText="1"/>
    </xf>
    <xf numFmtId="164" fontId="56" fillId="33" borderId="58" xfId="0" applyNumberFormat="1" applyFont="1" applyFill="1" applyBorder="1" applyAlignment="1">
      <alignment horizontal="center" vertical="center" wrapText="1"/>
    </xf>
    <xf numFmtId="164" fontId="56" fillId="33" borderId="19" xfId="0" applyNumberFormat="1" applyFont="1" applyFill="1" applyBorder="1" applyAlignment="1">
      <alignment horizontal="center" vertical="center"/>
    </xf>
    <xf numFmtId="164" fontId="56" fillId="33" borderId="21" xfId="0" applyNumberFormat="1" applyFont="1" applyFill="1" applyBorder="1" applyAlignment="1">
      <alignment horizontal="center" vertical="center"/>
    </xf>
    <xf numFmtId="2" fontId="56" fillId="33" borderId="19" xfId="0" applyNumberFormat="1" applyFont="1" applyFill="1" applyBorder="1" applyAlignment="1">
      <alignment horizontal="center" vertical="center"/>
    </xf>
    <xf numFmtId="2" fontId="56" fillId="33" borderId="21" xfId="0" applyNumberFormat="1" applyFont="1" applyFill="1" applyBorder="1" applyAlignment="1">
      <alignment horizontal="center" vertical="center"/>
    </xf>
    <xf numFmtId="164" fontId="56" fillId="33" borderId="52" xfId="0" applyNumberFormat="1" applyFont="1" applyFill="1" applyBorder="1" applyAlignment="1">
      <alignment horizontal="center" vertical="center"/>
    </xf>
    <xf numFmtId="164" fontId="56" fillId="33" borderId="52" xfId="0" applyNumberFormat="1" applyFont="1" applyFill="1" applyBorder="1" applyAlignment="1">
      <alignment horizontal="center" vertical="center" wrapText="1"/>
    </xf>
    <xf numFmtId="0" fontId="56" fillId="33" borderId="53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2" fontId="56" fillId="0" borderId="13" xfId="0" applyNumberFormat="1" applyFont="1" applyFill="1" applyBorder="1" applyAlignment="1">
      <alignment horizontal="center" vertical="center" wrapText="1"/>
    </xf>
    <xf numFmtId="0" fontId="56" fillId="0" borderId="59" xfId="0" applyFont="1" applyFill="1" applyBorder="1" applyAlignment="1">
      <alignment horizontal="center" vertical="center" wrapText="1"/>
    </xf>
    <xf numFmtId="4" fontId="56" fillId="33" borderId="52" xfId="0" applyNumberFormat="1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vertical="center"/>
    </xf>
    <xf numFmtId="49" fontId="57" fillId="0" borderId="11" xfId="0" applyNumberFormat="1" applyFont="1" applyFill="1" applyBorder="1" applyAlignment="1">
      <alignment vertical="center" wrapText="1"/>
    </xf>
    <xf numFmtId="0" fontId="56" fillId="0" borderId="11" xfId="0" applyFont="1" applyFill="1" applyBorder="1" applyAlignment="1">
      <alignment vertical="center" wrapText="1"/>
    </xf>
    <xf numFmtId="0" fontId="56" fillId="0" borderId="11" xfId="55" applyNumberFormat="1" applyFont="1" applyFill="1" applyBorder="1" applyAlignment="1">
      <alignment vertical="center" wrapText="1"/>
      <protection/>
    </xf>
    <xf numFmtId="2" fontId="56" fillId="0" borderId="11" xfId="0" applyNumberFormat="1" applyFont="1" applyFill="1" applyBorder="1" applyAlignment="1">
      <alignment vertical="center" wrapText="1"/>
    </xf>
    <xf numFmtId="4" fontId="56" fillId="0" borderId="0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53" fillId="0" borderId="0" xfId="0" applyFont="1" applyFill="1" applyBorder="1" applyAlignment="1">
      <alignment vertical="center" wrapText="1"/>
    </xf>
    <xf numFmtId="0" fontId="52" fillId="0" borderId="0" xfId="0" applyFont="1" applyFill="1" applyAlignment="1">
      <alignment vertical="center"/>
    </xf>
    <xf numFmtId="0" fontId="52" fillId="0" borderId="0" xfId="0" applyFont="1" applyFill="1" applyAlignment="1">
      <alignment vertical="center" wrapText="1"/>
    </xf>
    <xf numFmtId="0" fontId="52" fillId="0" borderId="0" xfId="0" applyFont="1" applyFill="1" applyBorder="1" applyAlignment="1">
      <alignment vertical="center" wrapText="1"/>
    </xf>
    <xf numFmtId="0" fontId="52" fillId="0" borderId="0" xfId="0" applyFont="1" applyFill="1" applyBorder="1" applyAlignment="1" applyProtection="1">
      <alignment vertical="center" wrapText="1"/>
      <protection locked="0"/>
    </xf>
    <xf numFmtId="165" fontId="52" fillId="0" borderId="0" xfId="0" applyNumberFormat="1" applyFont="1" applyFill="1" applyAlignment="1">
      <alignment horizontal="left"/>
    </xf>
    <xf numFmtId="0" fontId="52" fillId="0" borderId="0" xfId="0" applyFont="1" applyFill="1" applyAlignment="1">
      <alignment horizontal="left"/>
    </xf>
    <xf numFmtId="0" fontId="53" fillId="0" borderId="0" xfId="0" applyFont="1" applyFill="1" applyAlignment="1" applyProtection="1">
      <alignment vertical="center" wrapText="1"/>
      <protection locked="0"/>
    </xf>
    <xf numFmtId="0" fontId="52" fillId="0" borderId="0" xfId="0" applyFont="1" applyFill="1" applyAlignment="1" applyProtection="1">
      <alignment vertical="center" wrapText="1"/>
      <protection locked="0"/>
    </xf>
    <xf numFmtId="165" fontId="52" fillId="0" borderId="0" xfId="0" applyNumberFormat="1" applyFont="1" applyFill="1" applyAlignment="1" applyProtection="1">
      <alignment horizontal="left" vertical="center" wrapText="1"/>
      <protection locked="0"/>
    </xf>
    <xf numFmtId="0" fontId="52" fillId="0" borderId="0" xfId="0" applyFont="1" applyFill="1" applyAlignment="1" applyProtection="1">
      <alignment horizontal="left" vertical="center" wrapText="1"/>
      <protection locked="0"/>
    </xf>
    <xf numFmtId="49" fontId="52" fillId="0" borderId="0" xfId="0" applyNumberFormat="1" applyFont="1" applyFill="1" applyAlignment="1">
      <alignment horizontal="center" vertical="top" wrapText="1"/>
    </xf>
    <xf numFmtId="49" fontId="52" fillId="0" borderId="0" xfId="0" applyNumberFormat="1" applyFont="1" applyFill="1" applyAlignment="1">
      <alignment horizontal="center" vertical="center" wrapText="1"/>
    </xf>
    <xf numFmtId="4" fontId="52" fillId="0" borderId="60" xfId="0" applyNumberFormat="1" applyFont="1" applyFill="1" applyBorder="1" applyAlignment="1">
      <alignment horizontal="center" vertical="center" wrapText="1"/>
    </xf>
    <xf numFmtId="4" fontId="52" fillId="0" borderId="22" xfId="0" applyNumberFormat="1" applyFont="1" applyFill="1" applyBorder="1" applyAlignment="1">
      <alignment horizontal="center" vertical="center" wrapText="1"/>
    </xf>
    <xf numFmtId="0" fontId="52" fillId="0" borderId="61" xfId="0" applyFont="1" applyFill="1" applyBorder="1" applyAlignment="1">
      <alignment horizontal="center" vertical="center" wrapText="1"/>
    </xf>
    <xf numFmtId="0" fontId="52" fillId="0" borderId="40" xfId="0" applyFont="1" applyFill="1" applyBorder="1" applyAlignment="1">
      <alignment horizontal="center" vertical="center"/>
    </xf>
    <xf numFmtId="4" fontId="52" fillId="0" borderId="62" xfId="0" applyNumberFormat="1" applyFont="1" applyFill="1" applyBorder="1" applyAlignment="1">
      <alignment horizontal="center" vertical="center" wrapText="1"/>
    </xf>
    <xf numFmtId="4" fontId="52" fillId="0" borderId="45" xfId="0" applyNumberFormat="1" applyFont="1" applyFill="1" applyBorder="1" applyAlignment="1">
      <alignment horizontal="center" vertical="center" wrapText="1"/>
    </xf>
    <xf numFmtId="0" fontId="52" fillId="0" borderId="63" xfId="0" applyFont="1" applyFill="1" applyBorder="1" applyAlignment="1">
      <alignment horizontal="center" vertical="center" wrapText="1"/>
    </xf>
    <xf numFmtId="49" fontId="53" fillId="0" borderId="0" xfId="0" applyNumberFormat="1" applyFont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left" wrapText="1"/>
    </xf>
    <xf numFmtId="49" fontId="3" fillId="0" borderId="0" xfId="54" applyNumberFormat="1" applyFont="1" applyFill="1" applyAlignment="1">
      <alignment horizontal="center" vertical="top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center" wrapText="1"/>
    </xf>
    <xf numFmtId="164" fontId="2" fillId="33" borderId="14" xfId="0" applyNumberFormat="1" applyFont="1" applyFill="1" applyBorder="1" applyAlignment="1">
      <alignment horizontal="center" vertical="center" wrapText="1"/>
    </xf>
    <xf numFmtId="164" fontId="2" fillId="33" borderId="1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0" fontId="2" fillId="0" borderId="11" xfId="55" applyNumberFormat="1" applyFont="1" applyFill="1" applyBorder="1" applyAlignment="1">
      <alignment horizontal="center" vertical="center" wrapText="1"/>
      <protection/>
    </xf>
    <xf numFmtId="0" fontId="2" fillId="0" borderId="13" xfId="55" applyNumberFormat="1" applyFont="1" applyFill="1" applyBorder="1" applyAlignment="1">
      <alignment horizontal="center" vertical="center" wrapText="1"/>
      <protection/>
    </xf>
    <xf numFmtId="2" fontId="2" fillId="0" borderId="24" xfId="0" applyNumberFormat="1" applyFont="1" applyFill="1" applyBorder="1" applyAlignment="1">
      <alignment horizontal="center" vertical="center" wrapText="1"/>
    </xf>
    <xf numFmtId="2" fontId="2" fillId="0" borderId="33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49" fontId="53" fillId="0" borderId="11" xfId="0" applyNumberFormat="1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49" fontId="53" fillId="0" borderId="14" xfId="0" applyNumberFormat="1" applyFont="1" applyFill="1" applyBorder="1" applyAlignment="1">
      <alignment horizontal="center" vertical="center" wrapText="1"/>
    </xf>
    <xf numFmtId="49" fontId="53" fillId="0" borderId="39" xfId="0" applyNumberFormat="1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55" applyNumberFormat="1" applyFont="1" applyFill="1" applyBorder="1" applyAlignment="1">
      <alignment horizontal="center" vertical="center" wrapText="1"/>
      <protection/>
    </xf>
    <xf numFmtId="0" fontId="3" fillId="0" borderId="0" xfId="54" applyFont="1" applyFill="1" applyBorder="1" applyAlignment="1">
      <alignment horizontal="center" vertical="center" wrapText="1"/>
      <protection/>
    </xf>
    <xf numFmtId="4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NumberFormat="1" applyFont="1" applyFill="1" applyBorder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center" vertical="center" wrapText="1"/>
    </xf>
    <xf numFmtId="0" fontId="53" fillId="0" borderId="39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4" fontId="52" fillId="0" borderId="60" xfId="0" applyNumberFormat="1" applyFont="1" applyFill="1" applyBorder="1" applyAlignment="1">
      <alignment horizontal="center" vertical="center" wrapText="1"/>
    </xf>
    <xf numFmtId="4" fontId="52" fillId="0" borderId="64" xfId="0" applyNumberFormat="1" applyFont="1" applyFill="1" applyBorder="1" applyAlignment="1">
      <alignment horizontal="center" vertical="center" wrapText="1"/>
    </xf>
    <xf numFmtId="4" fontId="52" fillId="0" borderId="45" xfId="0" applyNumberFormat="1" applyFont="1" applyFill="1" applyBorder="1" applyAlignment="1">
      <alignment horizontal="center" vertical="center" wrapText="1"/>
    </xf>
    <xf numFmtId="49" fontId="52" fillId="33" borderId="11" xfId="0" applyNumberFormat="1" applyFont="1" applyFill="1" applyBorder="1" applyAlignment="1">
      <alignment horizontal="center" vertical="center" wrapText="1"/>
    </xf>
    <xf numFmtId="49" fontId="52" fillId="33" borderId="13" xfId="0" applyNumberFormat="1" applyFont="1" applyFill="1" applyBorder="1" applyAlignment="1">
      <alignment horizontal="center" vertical="center" wrapText="1"/>
    </xf>
    <xf numFmtId="49" fontId="52" fillId="33" borderId="14" xfId="0" applyNumberFormat="1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center" vertical="center" wrapText="1"/>
    </xf>
    <xf numFmtId="49" fontId="53" fillId="0" borderId="0" xfId="54" applyNumberFormat="1" applyFont="1" applyFill="1" applyAlignment="1">
      <alignment horizontal="center" vertical="top" wrapText="1"/>
      <protection/>
    </xf>
    <xf numFmtId="4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6" fontId="3" fillId="0" borderId="14" xfId="0" applyNumberFormat="1" applyFont="1" applyFill="1" applyBorder="1" applyAlignment="1">
      <alignment horizontal="center" vertical="center" wrapText="1"/>
    </xf>
    <xf numFmtId="16" fontId="3" fillId="0" borderId="15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49" fontId="3" fillId="0" borderId="65" xfId="0" applyNumberFormat="1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14" fontId="3" fillId="0" borderId="11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4" fontId="2" fillId="0" borderId="33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49" fontId="2" fillId="0" borderId="69" xfId="0" applyNumberFormat="1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49" fontId="3" fillId="0" borderId="71" xfId="0" applyNumberFormat="1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 wrapText="1"/>
    </xf>
    <xf numFmtId="49" fontId="2" fillId="0" borderId="71" xfId="0" applyNumberFormat="1" applyFont="1" applyFill="1" applyBorder="1" applyAlignment="1">
      <alignment horizontal="center" vertical="center" wrapText="1"/>
    </xf>
    <xf numFmtId="49" fontId="2" fillId="0" borderId="67" xfId="0" applyNumberFormat="1" applyFont="1" applyFill="1" applyBorder="1" applyAlignment="1">
      <alignment horizontal="center" vertical="center" wrapText="1"/>
    </xf>
    <xf numFmtId="49" fontId="2" fillId="0" borderId="60" xfId="0" applyNumberFormat="1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49" fontId="3" fillId="0" borderId="67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3" fillId="0" borderId="74" xfId="0" applyNumberFormat="1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49" fontId="3" fillId="33" borderId="0" xfId="54" applyNumberFormat="1" applyFont="1" applyFill="1" applyAlignment="1">
      <alignment horizontal="center" vertical="top" wrapText="1"/>
      <protection/>
    </xf>
    <xf numFmtId="49" fontId="57" fillId="0" borderId="13" xfId="0" applyNumberFormat="1" applyFont="1" applyFill="1" applyBorder="1" applyAlignment="1">
      <alignment horizontal="center" vertical="center" wrapText="1"/>
    </xf>
    <xf numFmtId="49" fontId="56" fillId="33" borderId="21" xfId="0" applyNumberFormat="1" applyFont="1" applyFill="1" applyBorder="1" applyAlignment="1">
      <alignment horizontal="center" vertical="center" wrapText="1"/>
    </xf>
    <xf numFmtId="49" fontId="56" fillId="33" borderId="10" xfId="0" applyNumberFormat="1" applyFont="1" applyFill="1" applyBorder="1" applyAlignment="1">
      <alignment horizontal="center" vertical="center" wrapText="1"/>
    </xf>
    <xf numFmtId="49" fontId="56" fillId="33" borderId="11" xfId="0" applyNumberFormat="1" applyFont="1" applyFill="1" applyBorder="1" applyAlignment="1">
      <alignment horizontal="center" vertical="center" wrapText="1"/>
    </xf>
    <xf numFmtId="0" fontId="56" fillId="0" borderId="48" xfId="0" applyNumberFormat="1" applyFont="1" applyFill="1" applyBorder="1" applyAlignment="1">
      <alignment horizontal="center" vertical="center" wrapText="1"/>
    </xf>
    <xf numFmtId="0" fontId="56" fillId="0" borderId="81" xfId="0" applyNumberFormat="1" applyFont="1" applyFill="1" applyBorder="1" applyAlignment="1">
      <alignment horizontal="center" vertical="center" wrapText="1"/>
    </xf>
    <xf numFmtId="49" fontId="56" fillId="0" borderId="48" xfId="0" applyNumberFormat="1" applyFont="1" applyFill="1" applyBorder="1" applyAlignment="1">
      <alignment horizontal="center" vertical="center" wrapText="1"/>
    </xf>
    <xf numFmtId="49" fontId="56" fillId="0" borderId="32" xfId="0" applyNumberFormat="1" applyFont="1" applyFill="1" applyBorder="1" applyAlignment="1">
      <alignment horizontal="center" vertical="center" wrapText="1"/>
    </xf>
    <xf numFmtId="49" fontId="56" fillId="0" borderId="81" xfId="0" applyNumberFormat="1" applyFont="1" applyFill="1" applyBorder="1" applyAlignment="1">
      <alignment horizontal="center" vertical="center" wrapText="1"/>
    </xf>
    <xf numFmtId="49" fontId="56" fillId="33" borderId="18" xfId="0" applyNumberFormat="1" applyFont="1" applyFill="1" applyBorder="1" applyAlignment="1">
      <alignment horizontal="center" vertical="center" wrapText="1"/>
    </xf>
    <xf numFmtId="49" fontId="56" fillId="33" borderId="26" xfId="0" applyNumberFormat="1" applyFont="1" applyFill="1" applyBorder="1" applyAlignment="1">
      <alignment horizontal="center" vertical="center" wrapText="1"/>
    </xf>
    <xf numFmtId="49" fontId="56" fillId="33" borderId="36" xfId="0" applyNumberFormat="1" applyFont="1" applyFill="1" applyBorder="1" applyAlignment="1">
      <alignment horizontal="center" vertical="center" wrapText="1"/>
    </xf>
    <xf numFmtId="49" fontId="57" fillId="33" borderId="19" xfId="0" applyNumberFormat="1" applyFont="1" applyFill="1" applyBorder="1" applyAlignment="1">
      <alignment horizontal="center" vertical="center" wrapText="1"/>
    </xf>
    <xf numFmtId="49" fontId="57" fillId="33" borderId="10" xfId="0" applyNumberFormat="1" applyFont="1" applyFill="1" applyBorder="1" applyAlignment="1">
      <alignment horizontal="center" vertical="center" wrapText="1"/>
    </xf>
    <xf numFmtId="49" fontId="57" fillId="33" borderId="21" xfId="0" applyNumberFormat="1" applyFont="1" applyFill="1" applyBorder="1" applyAlignment="1">
      <alignment horizontal="center" vertical="center" wrapText="1"/>
    </xf>
    <xf numFmtId="49" fontId="56" fillId="33" borderId="13" xfId="0" applyNumberFormat="1" applyFont="1" applyFill="1" applyBorder="1" applyAlignment="1">
      <alignment horizontal="center" vertical="center" wrapText="1"/>
    </xf>
    <xf numFmtId="49" fontId="56" fillId="33" borderId="29" xfId="0" applyNumberFormat="1" applyFont="1" applyFill="1" applyBorder="1" applyAlignment="1">
      <alignment horizontal="center" vertical="center" wrapText="1"/>
    </xf>
    <xf numFmtId="49" fontId="56" fillId="33" borderId="20" xfId="0" applyNumberFormat="1" applyFont="1" applyFill="1" applyBorder="1" applyAlignment="1">
      <alignment horizontal="center" vertical="center" wrapText="1"/>
    </xf>
    <xf numFmtId="49" fontId="56" fillId="33" borderId="38" xfId="0" applyNumberFormat="1" applyFont="1" applyFill="1" applyBorder="1" applyAlignment="1">
      <alignment horizontal="center" vertical="center" wrapText="1"/>
    </xf>
    <xf numFmtId="49" fontId="57" fillId="0" borderId="82" xfId="0" applyNumberFormat="1" applyFont="1" applyFill="1" applyBorder="1" applyAlignment="1">
      <alignment horizontal="center" vertical="center" wrapText="1"/>
    </xf>
    <xf numFmtId="0" fontId="56" fillId="0" borderId="25" xfId="0" applyFont="1" applyBorder="1" applyAlignment="1">
      <alignment/>
    </xf>
    <xf numFmtId="0" fontId="56" fillId="0" borderId="83" xfId="0" applyFont="1" applyBorder="1" applyAlignment="1">
      <alignment/>
    </xf>
    <xf numFmtId="49" fontId="56" fillId="33" borderId="56" xfId="0" applyNumberFormat="1" applyFont="1" applyFill="1" applyBorder="1" applyAlignment="1">
      <alignment horizontal="center" vertical="center" wrapText="1"/>
    </xf>
    <xf numFmtId="49" fontId="56" fillId="33" borderId="57" xfId="0" applyNumberFormat="1" applyFont="1" applyFill="1" applyBorder="1" applyAlignment="1">
      <alignment horizontal="center" vertical="center" wrapText="1"/>
    </xf>
    <xf numFmtId="49" fontId="56" fillId="33" borderId="58" xfId="0" applyNumberFormat="1" applyFont="1" applyFill="1" applyBorder="1" applyAlignment="1">
      <alignment horizontal="center" vertical="center" wrapText="1"/>
    </xf>
    <xf numFmtId="49" fontId="56" fillId="0" borderId="18" xfId="0" applyNumberFormat="1" applyFont="1" applyFill="1" applyBorder="1" applyAlignment="1">
      <alignment horizontal="center" vertical="center" wrapText="1"/>
    </xf>
    <xf numFmtId="49" fontId="56" fillId="0" borderId="26" xfId="0" applyNumberFormat="1" applyFont="1" applyFill="1" applyBorder="1" applyAlignment="1">
      <alignment horizontal="center" vertical="center" wrapText="1"/>
    </xf>
    <xf numFmtId="49" fontId="56" fillId="0" borderId="36" xfId="0" applyNumberFormat="1" applyFont="1" applyFill="1" applyBorder="1" applyAlignment="1">
      <alignment horizontal="center" vertical="center" wrapText="1"/>
    </xf>
    <xf numFmtId="49" fontId="57" fillId="0" borderId="19" xfId="0" applyNumberFormat="1" applyFont="1" applyFill="1" applyBorder="1" applyAlignment="1">
      <alignment horizontal="center" vertical="center" wrapText="1"/>
    </xf>
    <xf numFmtId="49" fontId="57" fillId="0" borderId="10" xfId="0" applyNumberFormat="1" applyFont="1" applyFill="1" applyBorder="1" applyAlignment="1">
      <alignment horizontal="center" vertical="center" wrapText="1"/>
    </xf>
    <xf numFmtId="49" fontId="57" fillId="0" borderId="21" xfId="0" applyNumberFormat="1" applyFont="1" applyFill="1" applyBorder="1" applyAlignment="1">
      <alignment horizontal="center" vertical="center" wrapText="1"/>
    </xf>
    <xf numFmtId="0" fontId="56" fillId="0" borderId="19" xfId="0" applyNumberFormat="1" applyFont="1" applyFill="1" applyBorder="1" applyAlignment="1">
      <alignment horizontal="center" vertical="center" wrapText="1"/>
    </xf>
    <xf numFmtId="0" fontId="56" fillId="0" borderId="10" xfId="0" applyNumberFormat="1" applyFont="1" applyFill="1" applyBorder="1" applyAlignment="1">
      <alignment horizontal="center" vertical="center" wrapText="1"/>
    </xf>
    <xf numFmtId="0" fontId="56" fillId="0" borderId="21" xfId="0" applyNumberFormat="1" applyFont="1" applyFill="1" applyBorder="1" applyAlignment="1">
      <alignment horizontal="center" vertical="center" wrapText="1"/>
    </xf>
    <xf numFmtId="49" fontId="56" fillId="0" borderId="19" xfId="0" applyNumberFormat="1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49" fontId="56" fillId="0" borderId="27" xfId="0" applyNumberFormat="1" applyFont="1" applyFill="1" applyBorder="1" applyAlignment="1">
      <alignment horizontal="center" vertical="center" wrapText="1"/>
    </xf>
    <xf numFmtId="49" fontId="56" fillId="0" borderId="20" xfId="0" applyNumberFormat="1" applyFont="1" applyFill="1" applyBorder="1" applyAlignment="1">
      <alignment horizontal="center" vertical="center" wrapText="1"/>
    </xf>
    <xf numFmtId="49" fontId="56" fillId="0" borderId="38" xfId="0" applyNumberFormat="1" applyFont="1" applyFill="1" applyBorder="1" applyAlignment="1">
      <alignment horizontal="center" vertical="center" wrapText="1"/>
    </xf>
    <xf numFmtId="49" fontId="56" fillId="0" borderId="21" xfId="0" applyNumberFormat="1" applyFont="1" applyFill="1" applyBorder="1" applyAlignment="1">
      <alignment horizontal="center" vertical="center" wrapText="1"/>
    </xf>
    <xf numFmtId="0" fontId="57" fillId="0" borderId="10" xfId="0" applyNumberFormat="1" applyFont="1" applyFill="1" applyBorder="1" applyAlignment="1">
      <alignment horizontal="center" vertical="center" wrapText="1"/>
    </xf>
    <xf numFmtId="49" fontId="57" fillId="0" borderId="24" xfId="0" applyNumberFormat="1" applyFont="1" applyFill="1" applyBorder="1" applyAlignment="1">
      <alignment horizontal="center" vertical="center" wrapText="1"/>
    </xf>
    <xf numFmtId="49" fontId="57" fillId="0" borderId="33" xfId="0" applyNumberFormat="1" applyFont="1" applyFill="1" applyBorder="1" applyAlignment="1">
      <alignment horizontal="center" vertical="center" wrapText="1"/>
    </xf>
    <xf numFmtId="0" fontId="57" fillId="0" borderId="11" xfId="0" applyNumberFormat="1" applyFont="1" applyFill="1" applyBorder="1" applyAlignment="1">
      <alignment horizontal="center" vertical="center" wrapText="1"/>
    </xf>
    <xf numFmtId="49" fontId="57" fillId="0" borderId="25" xfId="0" applyNumberFormat="1" applyFont="1" applyFill="1" applyBorder="1" applyAlignment="1">
      <alignment horizontal="center" vertical="center" wrapText="1"/>
    </xf>
    <xf numFmtId="49" fontId="57" fillId="0" borderId="83" xfId="0" applyNumberFormat="1" applyFont="1" applyFill="1" applyBorder="1" applyAlignment="1">
      <alignment horizontal="center" vertical="center" wrapText="1"/>
    </xf>
    <xf numFmtId="0" fontId="56" fillId="33" borderId="84" xfId="0" applyNumberFormat="1" applyFont="1" applyFill="1" applyBorder="1" applyAlignment="1">
      <alignment horizontal="center" vertical="center" wrapText="1"/>
    </xf>
    <xf numFmtId="0" fontId="56" fillId="33" borderId="35" xfId="0" applyNumberFormat="1" applyFont="1" applyFill="1" applyBorder="1" applyAlignment="1">
      <alignment horizontal="center" vertical="center" wrapText="1"/>
    </xf>
    <xf numFmtId="49" fontId="57" fillId="0" borderId="73" xfId="0" applyNumberFormat="1" applyFont="1" applyFill="1" applyBorder="1" applyAlignment="1">
      <alignment horizontal="center" vertical="center" wrapText="1"/>
    </xf>
    <xf numFmtId="49" fontId="56" fillId="0" borderId="85" xfId="0" applyNumberFormat="1" applyFont="1" applyFill="1" applyBorder="1" applyAlignment="1">
      <alignment horizontal="center" vertical="center" wrapText="1"/>
    </xf>
    <xf numFmtId="49" fontId="56" fillId="0" borderId="12" xfId="0" applyNumberFormat="1" applyFont="1" applyFill="1" applyBorder="1" applyAlignment="1">
      <alignment horizontal="center" vertical="center" wrapText="1"/>
    </xf>
    <xf numFmtId="49" fontId="56" fillId="0" borderId="25" xfId="0" applyNumberFormat="1" applyFont="1" applyFill="1" applyBorder="1" applyAlignment="1">
      <alignment horizontal="center" vertical="center" wrapText="1"/>
    </xf>
    <xf numFmtId="49" fontId="56" fillId="0" borderId="51" xfId="0" applyNumberFormat="1" applyFont="1" applyFill="1" applyBorder="1" applyAlignment="1">
      <alignment horizontal="center" vertical="center" wrapText="1"/>
    </xf>
    <xf numFmtId="49" fontId="56" fillId="33" borderId="19" xfId="0" applyNumberFormat="1" applyFont="1" applyFill="1" applyBorder="1" applyAlignment="1">
      <alignment horizontal="center" vertical="center" wrapText="1"/>
    </xf>
    <xf numFmtId="49" fontId="56" fillId="33" borderId="27" xfId="0" applyNumberFormat="1" applyFont="1" applyFill="1" applyBorder="1" applyAlignment="1">
      <alignment horizontal="center" vertical="center" wrapText="1"/>
    </xf>
    <xf numFmtId="49" fontId="56" fillId="33" borderId="30" xfId="0" applyNumberFormat="1" applyFont="1" applyFill="1" applyBorder="1" applyAlignment="1">
      <alignment horizontal="center" vertical="center" wrapText="1"/>
    </xf>
    <xf numFmtId="2" fontId="56" fillId="0" borderId="85" xfId="0" applyNumberFormat="1" applyFont="1" applyFill="1" applyBorder="1" applyAlignment="1">
      <alignment horizontal="center" vertical="center"/>
    </xf>
    <xf numFmtId="2" fontId="56" fillId="0" borderId="12" xfId="0" applyNumberFormat="1" applyFont="1" applyFill="1" applyBorder="1" applyAlignment="1">
      <alignment horizontal="center" vertical="center"/>
    </xf>
    <xf numFmtId="2" fontId="56" fillId="0" borderId="51" xfId="0" applyNumberFormat="1" applyFont="1" applyFill="1" applyBorder="1" applyAlignment="1">
      <alignment horizontal="center" vertical="center"/>
    </xf>
    <xf numFmtId="49" fontId="56" fillId="0" borderId="13" xfId="0" applyNumberFormat="1" applyFont="1" applyFill="1" applyBorder="1" applyAlignment="1">
      <alignment horizontal="center" vertical="center" wrapText="1"/>
    </xf>
    <xf numFmtId="49" fontId="57" fillId="0" borderId="54" xfId="0" applyNumberFormat="1" applyFont="1" applyFill="1" applyBorder="1" applyAlignment="1">
      <alignment horizontal="center" vertical="center" wrapText="1"/>
    </xf>
    <xf numFmtId="49" fontId="57" fillId="0" borderId="52" xfId="0" applyNumberFormat="1" applyFont="1" applyFill="1" applyBorder="1" applyAlignment="1">
      <alignment horizontal="center" vertical="center" wrapText="1"/>
    </xf>
    <xf numFmtId="49" fontId="57" fillId="0" borderId="53" xfId="0" applyNumberFormat="1" applyFont="1" applyFill="1" applyBorder="1" applyAlignment="1">
      <alignment horizontal="center" vertical="center" wrapText="1"/>
    </xf>
    <xf numFmtId="49" fontId="56" fillId="0" borderId="31" xfId="0" applyNumberFormat="1" applyFont="1" applyFill="1" applyBorder="1" applyAlignment="1">
      <alignment horizontal="center" vertical="center" wrapText="1"/>
    </xf>
    <xf numFmtId="49" fontId="56" fillId="0" borderId="28" xfId="0" applyNumberFormat="1" applyFont="1" applyFill="1" applyBorder="1" applyAlignment="1">
      <alignment horizontal="center" vertical="center" wrapText="1"/>
    </xf>
    <xf numFmtId="49" fontId="57" fillId="0" borderId="12" xfId="0" applyNumberFormat="1" applyFont="1" applyFill="1" applyBorder="1" applyAlignment="1">
      <alignment horizontal="center" vertical="center" wrapText="1"/>
    </xf>
    <xf numFmtId="0" fontId="57" fillId="0" borderId="85" xfId="0" applyNumberFormat="1" applyFont="1" applyFill="1" applyBorder="1" applyAlignment="1">
      <alignment horizontal="center" vertical="center" wrapText="1"/>
    </xf>
    <xf numFmtId="0" fontId="57" fillId="0" borderId="51" xfId="0" applyNumberFormat="1" applyFont="1" applyFill="1" applyBorder="1" applyAlignment="1">
      <alignment horizontal="center" vertical="center" wrapText="1"/>
    </xf>
    <xf numFmtId="49" fontId="57" fillId="0" borderId="11" xfId="0" applyNumberFormat="1" applyFont="1" applyFill="1" applyBorder="1" applyAlignment="1">
      <alignment horizontal="center" vertical="center" wrapText="1"/>
    </xf>
    <xf numFmtId="49" fontId="57" fillId="0" borderId="85" xfId="0" applyNumberFormat="1" applyFont="1" applyFill="1" applyBorder="1" applyAlignment="1">
      <alignment horizontal="center" vertical="center" wrapText="1"/>
    </xf>
    <xf numFmtId="49" fontId="57" fillId="0" borderId="51" xfId="0" applyNumberFormat="1" applyFont="1" applyFill="1" applyBorder="1" applyAlignment="1">
      <alignment horizontal="center" vertical="center" wrapText="1"/>
    </xf>
    <xf numFmtId="49" fontId="57" fillId="0" borderId="84" xfId="0" applyNumberFormat="1" applyFont="1" applyFill="1" applyBorder="1" applyAlignment="1">
      <alignment horizontal="center" vertical="center" wrapText="1"/>
    </xf>
    <xf numFmtId="49" fontId="57" fillId="0" borderId="59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2" fontId="56" fillId="0" borderId="10" xfId="0" applyNumberFormat="1" applyFont="1" applyFill="1" applyBorder="1" applyAlignment="1">
      <alignment horizontal="center" vertical="center" wrapText="1"/>
    </xf>
    <xf numFmtId="0" fontId="56" fillId="33" borderId="84" xfId="0" applyFont="1" applyFill="1" applyBorder="1" applyAlignment="1">
      <alignment horizontal="center" vertical="center" wrapText="1"/>
    </xf>
    <xf numFmtId="0" fontId="56" fillId="33" borderId="59" xfId="0" applyFont="1" applyFill="1" applyBorder="1" applyAlignment="1">
      <alignment horizontal="center" vertical="center" wrapText="1"/>
    </xf>
    <xf numFmtId="0" fontId="56" fillId="0" borderId="48" xfId="0" applyFont="1" applyFill="1" applyBorder="1" applyAlignment="1">
      <alignment horizontal="center" vertical="center"/>
    </xf>
    <xf numFmtId="0" fontId="56" fillId="0" borderId="81" xfId="0" applyFont="1" applyFill="1" applyBorder="1" applyAlignment="1">
      <alignment horizontal="center" vertical="center"/>
    </xf>
    <xf numFmtId="0" fontId="57" fillId="0" borderId="74" xfId="0" applyFont="1" applyBorder="1" applyAlignment="1">
      <alignment horizontal="center" vertical="center" wrapText="1"/>
    </xf>
    <xf numFmtId="0" fontId="57" fillId="0" borderId="86" xfId="0" applyFont="1" applyBorder="1" applyAlignment="1">
      <alignment horizontal="center" vertical="center" wrapText="1"/>
    </xf>
    <xf numFmtId="0" fontId="57" fillId="0" borderId="87" xfId="0" applyFont="1" applyBorder="1" applyAlignment="1">
      <alignment horizontal="center" vertical="center" wrapText="1"/>
    </xf>
    <xf numFmtId="0" fontId="57" fillId="0" borderId="75" xfId="0" applyFont="1" applyBorder="1" applyAlignment="1">
      <alignment horizontal="center" vertical="center" wrapText="1"/>
    </xf>
    <xf numFmtId="0" fontId="57" fillId="0" borderId="62" xfId="0" applyFont="1" applyBorder="1" applyAlignment="1">
      <alignment horizontal="center" vertical="center" wrapText="1"/>
    </xf>
    <xf numFmtId="49" fontId="57" fillId="0" borderId="27" xfId="0" applyNumberFormat="1" applyFont="1" applyFill="1" applyBorder="1" applyAlignment="1">
      <alignment horizontal="center" vertical="center" wrapText="1"/>
    </xf>
    <xf numFmtId="49" fontId="57" fillId="0" borderId="38" xfId="0" applyNumberFormat="1" applyFont="1" applyFill="1" applyBorder="1" applyAlignment="1">
      <alignment horizontal="center" vertical="center" wrapText="1"/>
    </xf>
    <xf numFmtId="0" fontId="56" fillId="0" borderId="18" xfId="55" applyNumberFormat="1" applyFont="1" applyFill="1" applyBorder="1" applyAlignment="1">
      <alignment horizontal="center" vertical="center" wrapText="1"/>
      <protection/>
    </xf>
    <xf numFmtId="0" fontId="56" fillId="0" borderId="36" xfId="55" applyNumberFormat="1" applyFont="1" applyFill="1" applyBorder="1" applyAlignment="1">
      <alignment horizontal="center" vertical="center" wrapText="1"/>
      <protection/>
    </xf>
    <xf numFmtId="0" fontId="56" fillId="0" borderId="88" xfId="55" applyNumberFormat="1" applyFont="1" applyFill="1" applyBorder="1" applyAlignment="1">
      <alignment horizontal="center" vertical="center" wrapText="1"/>
      <protection/>
    </xf>
    <xf numFmtId="0" fontId="56" fillId="0" borderId="89" xfId="55" applyNumberFormat="1" applyFont="1" applyFill="1" applyBorder="1" applyAlignment="1">
      <alignment horizontal="center" vertical="center" wrapText="1"/>
      <protection/>
    </xf>
    <xf numFmtId="0" fontId="57" fillId="0" borderId="0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6" fillId="0" borderId="85" xfId="0" applyNumberFormat="1" applyFont="1" applyFill="1" applyBorder="1" applyAlignment="1">
      <alignment horizontal="center" vertical="center" wrapText="1"/>
    </xf>
    <xf numFmtId="0" fontId="56" fillId="0" borderId="51" xfId="0" applyNumberFormat="1" applyFont="1" applyFill="1" applyBorder="1" applyAlignment="1">
      <alignment horizontal="center" vertical="center" wrapText="1"/>
    </xf>
    <xf numFmtId="0" fontId="56" fillId="0" borderId="85" xfId="0" applyFont="1" applyFill="1" applyBorder="1" applyAlignment="1">
      <alignment horizontal="center" vertical="center"/>
    </xf>
    <xf numFmtId="0" fontId="56" fillId="0" borderId="51" xfId="0" applyFont="1" applyFill="1" applyBorder="1" applyAlignment="1">
      <alignment horizontal="center" vertical="center"/>
    </xf>
    <xf numFmtId="0" fontId="56" fillId="33" borderId="27" xfId="0" applyNumberFormat="1" applyFont="1" applyFill="1" applyBorder="1" applyAlignment="1">
      <alignment horizontal="center" vertical="center" wrapText="1"/>
    </xf>
    <xf numFmtId="0" fontId="56" fillId="33" borderId="38" xfId="0" applyNumberFormat="1" applyFont="1" applyFill="1" applyBorder="1" applyAlignment="1">
      <alignment horizontal="center" vertical="center" wrapText="1"/>
    </xf>
    <xf numFmtId="0" fontId="56" fillId="0" borderId="32" xfId="0" applyNumberFormat="1" applyFont="1" applyFill="1" applyBorder="1" applyAlignment="1">
      <alignment horizontal="center" vertical="center" wrapText="1"/>
    </xf>
    <xf numFmtId="49" fontId="57" fillId="0" borderId="35" xfId="0" applyNumberFormat="1" applyFont="1" applyFill="1" applyBorder="1" applyAlignment="1">
      <alignment horizontal="center" vertical="center" wrapText="1"/>
    </xf>
    <xf numFmtId="0" fontId="57" fillId="0" borderId="0" xfId="0" applyNumberFormat="1" applyFont="1" applyFill="1" applyBorder="1" applyAlignment="1">
      <alignment horizontal="center" vertical="center" wrapText="1"/>
    </xf>
    <xf numFmtId="0" fontId="57" fillId="0" borderId="16" xfId="0" applyNumberFormat="1" applyFont="1" applyFill="1" applyBorder="1" applyAlignment="1">
      <alignment horizontal="center" vertical="center" wrapText="1"/>
    </xf>
    <xf numFmtId="0" fontId="56" fillId="0" borderId="90" xfId="55" applyNumberFormat="1" applyFont="1" applyFill="1" applyBorder="1" applyAlignment="1">
      <alignment horizontal="center" vertical="center" wrapText="1"/>
      <protection/>
    </xf>
    <xf numFmtId="0" fontId="56" fillId="0" borderId="91" xfId="55" applyNumberFormat="1" applyFont="1" applyFill="1" applyBorder="1" applyAlignment="1">
      <alignment horizontal="center" vertical="center" wrapText="1"/>
      <protection/>
    </xf>
    <xf numFmtId="0" fontId="56" fillId="33" borderId="27" xfId="0" applyFont="1" applyFill="1" applyBorder="1" applyAlignment="1">
      <alignment horizontal="center" vertical="center" wrapText="1"/>
    </xf>
    <xf numFmtId="0" fontId="56" fillId="33" borderId="38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vertical="center"/>
    </xf>
    <xf numFmtId="2" fontId="56" fillId="0" borderId="37" xfId="0" applyNumberFormat="1" applyFont="1" applyFill="1" applyBorder="1" applyAlignment="1">
      <alignment horizontal="center" vertical="center" wrapText="1"/>
    </xf>
    <xf numFmtId="2" fontId="56" fillId="0" borderId="92" xfId="0" applyNumberFormat="1" applyFont="1" applyFill="1" applyBorder="1" applyAlignment="1">
      <alignment horizontal="center" vertical="center" wrapText="1"/>
    </xf>
    <xf numFmtId="16" fontId="57" fillId="0" borderId="25" xfId="0" applyNumberFormat="1" applyFont="1" applyBorder="1" applyAlignment="1">
      <alignment horizontal="center" vertical="center" wrapText="1"/>
    </xf>
    <xf numFmtId="16" fontId="57" fillId="0" borderId="93" xfId="0" applyNumberFormat="1" applyFont="1" applyBorder="1" applyAlignment="1">
      <alignment horizontal="center" vertical="center" wrapText="1"/>
    </xf>
    <xf numFmtId="0" fontId="57" fillId="0" borderId="94" xfId="0" applyFont="1" applyBorder="1" applyAlignment="1">
      <alignment horizontal="center" vertical="center" wrapText="1"/>
    </xf>
    <xf numFmtId="0" fontId="56" fillId="0" borderId="85" xfId="0" applyFont="1" applyFill="1" applyBorder="1" applyAlignment="1">
      <alignment horizontal="center" vertical="center" wrapText="1"/>
    </xf>
    <xf numFmtId="0" fontId="56" fillId="0" borderId="51" xfId="0" applyFont="1" applyFill="1" applyBorder="1" applyAlignment="1">
      <alignment horizontal="center" vertical="center" wrapText="1"/>
    </xf>
    <xf numFmtId="0" fontId="3" fillId="0" borderId="0" xfId="54" applyFont="1" applyFill="1" applyBorder="1" applyAlignment="1">
      <alignment horizontal="center" vertical="center"/>
      <protection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2" fontId="2" fillId="33" borderId="14" xfId="0" applyNumberFormat="1" applyFont="1" applyFill="1" applyBorder="1" applyAlignment="1">
      <alignment horizontal="center" vertical="center" wrapText="1"/>
    </xf>
    <xf numFmtId="2" fontId="2" fillId="33" borderId="15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73" xfId="0" applyNumberFormat="1" applyFont="1" applyFill="1" applyBorder="1" applyAlignment="1">
      <alignment horizontal="center" vertical="center" wrapText="1"/>
    </xf>
    <xf numFmtId="49" fontId="3" fillId="0" borderId="33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95" xfId="0" applyNumberFormat="1" applyFont="1" applyFill="1" applyBorder="1" applyAlignment="1">
      <alignment horizontal="center" vertical="center" wrapText="1"/>
    </xf>
    <xf numFmtId="49" fontId="3" fillId="33" borderId="23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39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2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39" xfId="0" applyNumberFormat="1" applyFont="1" applyFill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2" fillId="33" borderId="11" xfId="55" applyNumberFormat="1" applyFont="1" applyFill="1" applyBorder="1" applyAlignment="1">
      <alignment horizontal="center" vertical="center" wrapText="1"/>
      <protection/>
    </xf>
    <xf numFmtId="0" fontId="2" fillId="33" borderId="13" xfId="55" applyNumberFormat="1" applyFont="1" applyFill="1" applyBorder="1" applyAlignment="1">
      <alignment horizontal="center" vertical="center" wrapText="1"/>
      <protection/>
    </xf>
    <xf numFmtId="49" fontId="3" fillId="33" borderId="24" xfId="0" applyNumberFormat="1" applyFont="1" applyFill="1" applyBorder="1" applyAlignment="1">
      <alignment horizontal="center" vertical="center" wrapText="1"/>
    </xf>
    <xf numFmtId="49" fontId="3" fillId="33" borderId="25" xfId="0" applyNumberFormat="1" applyFont="1" applyFill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2" fillId="33" borderId="10" xfId="55" applyNumberFormat="1" applyFont="1" applyFill="1" applyBorder="1" applyAlignment="1">
      <alignment horizontal="center" vertical="center" wrapText="1"/>
      <protection/>
    </xf>
    <xf numFmtId="0" fontId="3" fillId="33" borderId="14" xfId="0" applyFont="1" applyFill="1" applyBorder="1" applyAlignment="1">
      <alignment horizontal="center" wrapText="1"/>
    </xf>
    <xf numFmtId="0" fontId="3" fillId="33" borderId="39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2" fontId="2" fillId="33" borderId="24" xfId="0" applyNumberFormat="1" applyFont="1" applyFill="1" applyBorder="1" applyAlignment="1">
      <alignment horizontal="center" vertical="center" wrapText="1"/>
    </xf>
    <xf numFmtId="2" fontId="2" fillId="33" borderId="3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49" fontId="3" fillId="0" borderId="0" xfId="54" applyNumberFormat="1" applyFont="1" applyFill="1" applyAlignment="1">
      <alignment horizontal="center" vertical="center" wrapText="1"/>
      <protection/>
    </xf>
    <xf numFmtId="49" fontId="8" fillId="0" borderId="0" xfId="54" applyNumberFormat="1" applyFont="1" applyFill="1" applyAlignment="1">
      <alignment horizontal="left" vertical="center" wrapText="1"/>
      <protection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3" fillId="0" borderId="39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95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166" fontId="2" fillId="0" borderId="11" xfId="0" applyNumberFormat="1" applyFont="1" applyFill="1" applyBorder="1" applyAlignment="1">
      <alignment horizontal="center" vertical="center" wrapText="1"/>
    </xf>
    <xf numFmtId="166" fontId="29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39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0" fontId="2" fillId="0" borderId="12" xfId="55" applyNumberFormat="1" applyFont="1" applyFill="1" applyBorder="1" applyAlignment="1">
      <alignment horizontal="center" vertical="center" wrapText="1"/>
      <protection/>
    </xf>
    <xf numFmtId="164" fontId="2" fillId="0" borderId="14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8" fillId="0" borderId="13" xfId="0" applyFont="1" applyBorder="1" applyAlignment="1">
      <alignment horizontal="center" vertical="center" wrapText="1"/>
    </xf>
    <xf numFmtId="49" fontId="52" fillId="33" borderId="33" xfId="0" applyNumberFormat="1" applyFont="1" applyFill="1" applyBorder="1" applyAlignment="1">
      <alignment horizontal="center" vertical="center" wrapText="1"/>
    </xf>
    <xf numFmtId="0" fontId="52" fillId="33" borderId="23" xfId="0" applyFont="1" applyFill="1" applyBorder="1" applyAlignment="1">
      <alignment/>
    </xf>
    <xf numFmtId="0" fontId="53" fillId="33" borderId="11" xfId="0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164" fontId="52" fillId="33" borderId="14" xfId="0" applyNumberFormat="1" applyFont="1" applyFill="1" applyBorder="1" applyAlignment="1">
      <alignment horizontal="center" vertical="center" wrapText="1"/>
    </xf>
    <xf numFmtId="164" fontId="52" fillId="33" borderId="15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/>
    </xf>
    <xf numFmtId="0" fontId="53" fillId="33" borderId="14" xfId="0" applyFont="1" applyFill="1" applyBorder="1" applyAlignment="1">
      <alignment horizontal="center" vertical="center"/>
    </xf>
    <xf numFmtId="0" fontId="53" fillId="33" borderId="39" xfId="0" applyFont="1" applyFill="1" applyBorder="1" applyAlignment="1">
      <alignment horizontal="center" vertical="center"/>
    </xf>
    <xf numFmtId="0" fontId="53" fillId="33" borderId="15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49" fontId="53" fillId="33" borderId="11" xfId="0" applyNumberFormat="1" applyFont="1" applyFill="1" applyBorder="1" applyAlignment="1">
      <alignment horizontal="center" vertical="center" wrapText="1"/>
    </xf>
    <xf numFmtId="49" fontId="53" fillId="33" borderId="12" xfId="0" applyNumberFormat="1" applyFont="1" applyFill="1" applyBorder="1" applyAlignment="1">
      <alignment horizontal="center" vertical="center" wrapText="1"/>
    </xf>
    <xf numFmtId="49" fontId="53" fillId="33" borderId="10" xfId="0" applyNumberFormat="1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39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0" fontId="52" fillId="33" borderId="10" xfId="55" applyNumberFormat="1" applyFont="1" applyFill="1" applyBorder="1" applyAlignment="1">
      <alignment horizontal="center" vertical="center" wrapText="1"/>
      <protection/>
    </xf>
    <xf numFmtId="0" fontId="53" fillId="33" borderId="10" xfId="0" applyNumberFormat="1" applyFont="1" applyFill="1" applyBorder="1" applyAlignment="1">
      <alignment horizontal="center" vertical="center" wrapText="1"/>
    </xf>
    <xf numFmtId="0" fontId="53" fillId="33" borderId="14" xfId="0" applyNumberFormat="1" applyFont="1" applyFill="1" applyBorder="1" applyAlignment="1">
      <alignment horizontal="center" vertical="center" wrapText="1"/>
    </xf>
    <xf numFmtId="0" fontId="52" fillId="33" borderId="10" xfId="0" applyNumberFormat="1" applyFont="1" applyFill="1" applyBorder="1" applyAlignment="1">
      <alignment horizontal="center" vertical="center" wrapText="1"/>
    </xf>
    <xf numFmtId="49" fontId="52" fillId="33" borderId="15" xfId="0" applyNumberFormat="1" applyFont="1" applyFill="1" applyBorder="1" applyAlignment="1">
      <alignment horizontal="center" vertical="center" wrapText="1"/>
    </xf>
    <xf numFmtId="49" fontId="53" fillId="33" borderId="14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2" fillId="33" borderId="11" xfId="0" applyNumberFormat="1" applyFont="1" applyFill="1" applyBorder="1" applyAlignment="1">
      <alignment horizontal="center" vertical="center" wrapText="1"/>
    </xf>
    <xf numFmtId="0" fontId="52" fillId="33" borderId="12" xfId="0" applyNumberFormat="1" applyFont="1" applyFill="1" applyBorder="1" applyAlignment="1">
      <alignment horizontal="center" vertical="center" wrapText="1"/>
    </xf>
    <xf numFmtId="0" fontId="52" fillId="33" borderId="13" xfId="0" applyNumberFormat="1" applyFont="1" applyFill="1" applyBorder="1" applyAlignment="1">
      <alignment horizontal="center" vertical="center" wrapText="1"/>
    </xf>
    <xf numFmtId="49" fontId="52" fillId="33" borderId="12" xfId="0" applyNumberFormat="1" applyFont="1" applyFill="1" applyBorder="1" applyAlignment="1">
      <alignment horizontal="center" vertical="center" wrapText="1"/>
    </xf>
    <xf numFmtId="49" fontId="53" fillId="33" borderId="13" xfId="0" applyNumberFormat="1" applyFont="1" applyFill="1" applyBorder="1" applyAlignment="1">
      <alignment horizontal="center" vertical="center" wrapText="1"/>
    </xf>
    <xf numFmtId="0" fontId="58" fillId="0" borderId="39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2" fontId="52" fillId="0" borderId="11" xfId="0" applyNumberFormat="1" applyFont="1" applyFill="1" applyBorder="1" applyAlignment="1">
      <alignment horizontal="center" vertical="center"/>
    </xf>
    <xf numFmtId="2" fontId="52" fillId="0" borderId="12" xfId="0" applyNumberFormat="1" applyFont="1" applyFill="1" applyBorder="1" applyAlignment="1">
      <alignment horizontal="center" vertical="center"/>
    </xf>
    <xf numFmtId="2" fontId="52" fillId="0" borderId="13" xfId="0" applyNumberFormat="1" applyFont="1" applyFill="1" applyBorder="1" applyAlignment="1">
      <alignment horizontal="center" vertical="center"/>
    </xf>
    <xf numFmtId="49" fontId="52" fillId="0" borderId="11" xfId="0" applyNumberFormat="1" applyFont="1" applyFill="1" applyBorder="1" applyAlignment="1">
      <alignment horizontal="center" vertical="center" wrapText="1"/>
    </xf>
    <xf numFmtId="49" fontId="52" fillId="0" borderId="13" xfId="0" applyNumberFormat="1" applyFont="1" applyFill="1" applyBorder="1" applyAlignment="1">
      <alignment horizontal="center" vertical="center" wrapText="1"/>
    </xf>
    <xf numFmtId="0" fontId="52" fillId="33" borderId="24" xfId="0" applyNumberFormat="1" applyFont="1" applyFill="1" applyBorder="1" applyAlignment="1">
      <alignment horizontal="center" vertical="center" wrapText="1"/>
    </xf>
    <xf numFmtId="0" fontId="53" fillId="33" borderId="11" xfId="0" applyNumberFormat="1" applyFont="1" applyFill="1" applyBorder="1" applyAlignment="1">
      <alignment horizontal="center" vertical="center" wrapText="1"/>
    </xf>
    <xf numFmtId="0" fontId="53" fillId="33" borderId="12" xfId="0" applyNumberFormat="1" applyFont="1" applyFill="1" applyBorder="1" applyAlignment="1">
      <alignment horizontal="center" vertical="center" wrapText="1"/>
    </xf>
    <xf numFmtId="0" fontId="53" fillId="33" borderId="13" xfId="0" applyNumberFormat="1" applyFont="1" applyFill="1" applyBorder="1" applyAlignment="1">
      <alignment horizontal="center" vertical="center" wrapText="1"/>
    </xf>
    <xf numFmtId="0" fontId="53" fillId="33" borderId="39" xfId="0" applyNumberFormat="1" applyFont="1" applyFill="1" applyBorder="1" applyAlignment="1">
      <alignment horizontal="center" vertical="center" wrapText="1"/>
    </xf>
    <xf numFmtId="0" fontId="53" fillId="33" borderId="15" xfId="0" applyNumberFormat="1" applyFont="1" applyFill="1" applyBorder="1" applyAlignment="1">
      <alignment horizontal="center" vertical="center" wrapText="1"/>
    </xf>
    <xf numFmtId="2" fontId="52" fillId="33" borderId="11" xfId="0" applyNumberFormat="1" applyFont="1" applyFill="1" applyBorder="1" applyAlignment="1">
      <alignment horizontal="center" vertical="center"/>
    </xf>
    <xf numFmtId="2" fontId="52" fillId="33" borderId="12" xfId="0" applyNumberFormat="1" applyFont="1" applyFill="1" applyBorder="1" applyAlignment="1">
      <alignment horizontal="center" vertical="center"/>
    </xf>
    <xf numFmtId="2" fontId="52" fillId="33" borderId="13" xfId="0" applyNumberFormat="1" applyFont="1" applyFill="1" applyBorder="1" applyAlignment="1">
      <alignment horizontal="center" vertical="center"/>
    </xf>
    <xf numFmtId="164" fontId="52" fillId="33" borderId="11" xfId="0" applyNumberFormat="1" applyFont="1" applyFill="1" applyBorder="1" applyAlignment="1">
      <alignment horizontal="center" vertical="center"/>
    </xf>
    <xf numFmtId="164" fontId="52" fillId="33" borderId="13" xfId="0" applyNumberFormat="1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center" vertical="center"/>
    </xf>
    <xf numFmtId="2" fontId="52" fillId="33" borderId="10" xfId="0" applyNumberFormat="1" applyFont="1" applyFill="1" applyBorder="1" applyAlignment="1">
      <alignment horizontal="center" vertical="center"/>
    </xf>
    <xf numFmtId="49" fontId="53" fillId="33" borderId="24" xfId="0" applyNumberFormat="1" applyFont="1" applyFill="1" applyBorder="1" applyAlignment="1">
      <alignment horizontal="center" vertical="center" wrapText="1"/>
    </xf>
    <xf numFmtId="49" fontId="53" fillId="33" borderId="25" xfId="0" applyNumberFormat="1" applyFont="1" applyFill="1" applyBorder="1" applyAlignment="1">
      <alignment horizontal="center" vertical="center" wrapText="1"/>
    </xf>
    <xf numFmtId="49" fontId="53" fillId="33" borderId="17" xfId="0" applyNumberFormat="1" applyFont="1" applyFill="1" applyBorder="1" applyAlignment="1">
      <alignment horizontal="center" vertical="center" wrapText="1"/>
    </xf>
    <xf numFmtId="0" fontId="53" fillId="0" borderId="67" xfId="0" applyFont="1" applyBorder="1" applyAlignment="1">
      <alignment horizontal="center" vertical="center" wrapText="1"/>
    </xf>
    <xf numFmtId="0" fontId="53" fillId="0" borderId="68" xfId="0" applyFont="1" applyBorder="1" applyAlignment="1">
      <alignment horizontal="center" vertical="center" wrapText="1"/>
    </xf>
    <xf numFmtId="0" fontId="53" fillId="0" borderId="63" xfId="0" applyFont="1" applyBorder="1" applyAlignment="1">
      <alignment horizontal="center" vertical="center" wrapText="1"/>
    </xf>
    <xf numFmtId="0" fontId="52" fillId="33" borderId="11" xfId="55" applyNumberFormat="1" applyFont="1" applyFill="1" applyBorder="1" applyAlignment="1">
      <alignment horizontal="center" vertical="center" wrapText="1"/>
      <protection/>
    </xf>
    <xf numFmtId="0" fontId="52" fillId="33" borderId="12" xfId="55" applyNumberFormat="1" applyFont="1" applyFill="1" applyBorder="1" applyAlignment="1">
      <alignment horizontal="center" vertical="center" wrapText="1"/>
      <protection/>
    </xf>
    <xf numFmtId="0" fontId="52" fillId="33" borderId="13" xfId="55" applyNumberFormat="1" applyFont="1" applyFill="1" applyBorder="1" applyAlignment="1">
      <alignment horizontal="center" vertical="center" wrapText="1"/>
      <protection/>
    </xf>
    <xf numFmtId="0" fontId="52" fillId="33" borderId="12" xfId="0" applyFont="1" applyFill="1" applyBorder="1" applyAlignment="1">
      <alignment horizontal="center" vertical="top"/>
    </xf>
    <xf numFmtId="0" fontId="52" fillId="33" borderId="13" xfId="0" applyFont="1" applyFill="1" applyBorder="1" applyAlignment="1">
      <alignment horizontal="center" vertical="top"/>
    </xf>
    <xf numFmtId="49" fontId="53" fillId="33" borderId="11" xfId="0" applyNumberFormat="1" applyFont="1" applyFill="1" applyBorder="1" applyAlignment="1">
      <alignment horizontal="center" vertical="top" wrapText="1"/>
    </xf>
    <xf numFmtId="49" fontId="53" fillId="33" borderId="12" xfId="0" applyNumberFormat="1" applyFont="1" applyFill="1" applyBorder="1" applyAlignment="1">
      <alignment horizontal="center" vertical="top" wrapText="1"/>
    </xf>
    <xf numFmtId="49" fontId="53" fillId="33" borderId="13" xfId="0" applyNumberFormat="1" applyFont="1" applyFill="1" applyBorder="1" applyAlignment="1">
      <alignment horizontal="center" vertical="top" wrapText="1"/>
    </xf>
    <xf numFmtId="0" fontId="52" fillId="33" borderId="13" xfId="0" applyFont="1" applyFill="1" applyBorder="1" applyAlignment="1">
      <alignment horizontal="center" vertical="center" wrapText="1"/>
    </xf>
    <xf numFmtId="164" fontId="52" fillId="33" borderId="39" xfId="0" applyNumberFormat="1" applyFont="1" applyFill="1" applyBorder="1" applyAlignment="1">
      <alignment horizontal="center" vertical="center" wrapText="1"/>
    </xf>
    <xf numFmtId="0" fontId="52" fillId="33" borderId="24" xfId="0" applyFont="1" applyFill="1" applyBorder="1" applyAlignment="1">
      <alignment horizontal="center" vertical="center" wrapText="1"/>
    </xf>
    <xf numFmtId="0" fontId="52" fillId="33" borderId="25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2" fontId="52" fillId="33" borderId="14" xfId="0" applyNumberFormat="1" applyFont="1" applyFill="1" applyBorder="1" applyAlignment="1">
      <alignment horizontal="center" vertical="center"/>
    </xf>
    <xf numFmtId="2" fontId="52" fillId="33" borderId="15" xfId="0" applyNumberFormat="1" applyFont="1" applyFill="1" applyBorder="1" applyAlignment="1">
      <alignment horizontal="center" vertical="center"/>
    </xf>
    <xf numFmtId="2" fontId="52" fillId="33" borderId="14" xfId="0" applyNumberFormat="1" applyFont="1" applyFill="1" applyBorder="1" applyAlignment="1">
      <alignment horizontal="center" vertical="center" wrapText="1"/>
    </xf>
    <xf numFmtId="2" fontId="52" fillId="33" borderId="15" xfId="0" applyNumberFormat="1" applyFont="1" applyFill="1" applyBorder="1" applyAlignment="1">
      <alignment horizontal="center" vertical="center" wrapText="1"/>
    </xf>
    <xf numFmtId="0" fontId="53" fillId="33" borderId="24" xfId="0" applyFont="1" applyFill="1" applyBorder="1" applyAlignment="1">
      <alignment horizontal="center" vertical="center" wrapText="1"/>
    </xf>
    <xf numFmtId="0" fontId="53" fillId="33" borderId="73" xfId="0" applyFont="1" applyFill="1" applyBorder="1" applyAlignment="1">
      <alignment horizontal="center" vertical="center" wrapText="1"/>
    </xf>
    <xf numFmtId="0" fontId="53" fillId="33" borderId="33" xfId="0" applyFont="1" applyFill="1" applyBorder="1" applyAlignment="1">
      <alignment horizontal="center" vertical="center" wrapText="1"/>
    </xf>
    <xf numFmtId="49" fontId="8" fillId="0" borderId="0" xfId="54" applyNumberFormat="1" applyFont="1" applyFill="1" applyAlignment="1">
      <alignment horizontal="center" vertical="center" wrapText="1"/>
      <protection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49" fontId="3" fillId="0" borderId="96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33" borderId="30" xfId="0" applyNumberFormat="1" applyFont="1" applyFill="1" applyBorder="1" applyAlignment="1">
      <alignment horizontal="center" vertical="center" wrapText="1"/>
    </xf>
    <xf numFmtId="49" fontId="3" fillId="0" borderId="49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49" fontId="3" fillId="0" borderId="97" xfId="0" applyNumberFormat="1" applyFont="1" applyFill="1" applyBorder="1" applyAlignment="1">
      <alignment horizontal="center" vertical="center" wrapText="1"/>
    </xf>
    <xf numFmtId="49" fontId="3" fillId="0" borderId="98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33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3" fillId="0" borderId="10" xfId="55" applyNumberFormat="1" applyFont="1" applyFill="1" applyBorder="1" applyAlignment="1">
      <alignment horizontal="center" vertical="center" wrapText="1"/>
      <protection/>
    </xf>
    <xf numFmtId="0" fontId="2" fillId="0" borderId="99" xfId="0" applyFont="1" applyFill="1" applyBorder="1" applyAlignment="1">
      <alignment horizontal="center" vertical="center"/>
    </xf>
    <xf numFmtId="0" fontId="2" fillId="0" borderId="97" xfId="0" applyFont="1" applyFill="1" applyBorder="1" applyAlignment="1">
      <alignment horizontal="center" vertical="center"/>
    </xf>
    <xf numFmtId="0" fontId="3" fillId="0" borderId="14" xfId="55" applyNumberFormat="1" applyFont="1" applyFill="1" applyBorder="1" applyAlignment="1">
      <alignment horizontal="center" vertical="center" wrapText="1"/>
      <protection/>
    </xf>
    <xf numFmtId="0" fontId="3" fillId="0" borderId="39" xfId="55" applyNumberFormat="1" applyFont="1" applyFill="1" applyBorder="1" applyAlignment="1">
      <alignment horizontal="center" vertical="center" wrapText="1"/>
      <protection/>
    </xf>
    <xf numFmtId="0" fontId="3" fillId="0" borderId="15" xfId="55" applyNumberFormat="1" applyFont="1" applyFill="1" applyBorder="1" applyAlignment="1">
      <alignment horizontal="center" vertical="center" wrapText="1"/>
      <protection/>
    </xf>
    <xf numFmtId="0" fontId="2" fillId="0" borderId="29" xfId="0" applyFont="1" applyFill="1" applyBorder="1" applyAlignment="1">
      <alignment horizontal="center" vertical="center" wrapText="1"/>
    </xf>
    <xf numFmtId="0" fontId="3" fillId="0" borderId="9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49" fontId="3" fillId="0" borderId="100" xfId="0" applyNumberFormat="1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center" shrinkToFit="1"/>
    </xf>
    <xf numFmtId="0" fontId="52" fillId="0" borderId="0" xfId="0" applyFont="1" applyAlignment="1">
      <alignment/>
    </xf>
    <xf numFmtId="0" fontId="52" fillId="0" borderId="26" xfId="0" applyFont="1" applyFill="1" applyBorder="1" applyAlignment="1">
      <alignment horizontal="center" vertical="center"/>
    </xf>
    <xf numFmtId="2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/>
    </xf>
    <xf numFmtId="49" fontId="53" fillId="0" borderId="26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49" fontId="52" fillId="0" borderId="26" xfId="0" applyNumberFormat="1" applyFont="1" applyFill="1" applyBorder="1" applyAlignment="1">
      <alignment horizontal="center" vertical="center" wrapText="1"/>
    </xf>
    <xf numFmtId="2" fontId="52" fillId="0" borderId="10" xfId="0" applyNumberFormat="1" applyFont="1" applyFill="1" applyBorder="1" applyAlignment="1">
      <alignment horizontal="center" vertical="center"/>
    </xf>
    <xf numFmtId="164" fontId="52" fillId="33" borderId="10" xfId="0" applyNumberFormat="1" applyFont="1" applyFill="1" applyBorder="1" applyAlignment="1">
      <alignment horizontal="center" vertical="center" wrapText="1"/>
    </xf>
    <xf numFmtId="0" fontId="52" fillId="0" borderId="26" xfId="0" applyNumberFormat="1" applyFont="1" applyFill="1" applyBorder="1" applyAlignment="1">
      <alignment horizontal="center" vertical="top" wrapText="1"/>
    </xf>
    <xf numFmtId="0" fontId="52" fillId="0" borderId="26" xfId="0" applyFont="1" applyBorder="1" applyAlignment="1">
      <alignment/>
    </xf>
    <xf numFmtId="0" fontId="52" fillId="0" borderId="20" xfId="0" applyFont="1" applyBorder="1" applyAlignment="1">
      <alignment horizontal="center" vertical="center" wrapText="1"/>
    </xf>
    <xf numFmtId="49" fontId="53" fillId="0" borderId="20" xfId="0" applyNumberFormat="1" applyFont="1" applyFill="1" applyBorder="1" applyAlignment="1">
      <alignment horizontal="center" vertical="center" wrapText="1"/>
    </xf>
    <xf numFmtId="0" fontId="53" fillId="0" borderId="20" xfId="0" applyNumberFormat="1" applyFont="1" applyFill="1" applyBorder="1" applyAlignment="1">
      <alignment horizontal="center" vertical="center" wrapText="1"/>
    </xf>
    <xf numFmtId="49" fontId="52" fillId="0" borderId="26" xfId="0" applyNumberFormat="1" applyFont="1" applyFill="1" applyBorder="1" applyAlignment="1">
      <alignment horizontal="center" vertical="top" wrapText="1"/>
    </xf>
    <xf numFmtId="49" fontId="53" fillId="0" borderId="10" xfId="0" applyNumberFormat="1" applyFont="1" applyFill="1" applyBorder="1" applyAlignment="1">
      <alignment horizontal="center" vertical="top" wrapText="1"/>
    </xf>
    <xf numFmtId="49" fontId="52" fillId="0" borderId="10" xfId="0" applyNumberFormat="1" applyFont="1" applyFill="1" applyBorder="1" applyAlignment="1">
      <alignment horizontal="center" vertical="top" wrapText="1"/>
    </xf>
    <xf numFmtId="49" fontId="52" fillId="33" borderId="26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vertical="top" wrapText="1"/>
    </xf>
    <xf numFmtId="49" fontId="8" fillId="0" borderId="89" xfId="54" applyNumberFormat="1" applyFont="1" applyFill="1" applyBorder="1" applyAlignment="1">
      <alignment horizontal="left" vertical="center" wrapText="1"/>
      <protection/>
    </xf>
    <xf numFmtId="0" fontId="53" fillId="0" borderId="26" xfId="0" applyNumberFormat="1" applyFont="1" applyFill="1" applyBorder="1" applyAlignment="1">
      <alignment horizontal="center" vertical="center" wrapText="1"/>
    </xf>
    <xf numFmtId="49" fontId="53" fillId="0" borderId="0" xfId="0" applyNumberFormat="1" applyFont="1" applyFill="1" applyAlignment="1">
      <alignment horizontal="left" vertical="center" wrapText="1"/>
    </xf>
    <xf numFmtId="49" fontId="52" fillId="0" borderId="0" xfId="0" applyNumberFormat="1" applyFont="1" applyAlignment="1">
      <alignment horizontal="left" vertical="center" wrapText="1"/>
    </xf>
    <xf numFmtId="49" fontId="53" fillId="0" borderId="49" xfId="0" applyNumberFormat="1" applyFont="1" applyFill="1" applyBorder="1" applyAlignment="1">
      <alignment horizontal="center" vertical="center" wrapText="1"/>
    </xf>
    <xf numFmtId="0" fontId="52" fillId="0" borderId="3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52" fillId="0" borderId="35" xfId="0" applyNumberFormat="1" applyFont="1" applyFill="1" applyBorder="1" applyAlignment="1">
      <alignment horizontal="center" vertical="center" wrapText="1"/>
    </xf>
    <xf numFmtId="0" fontId="52" fillId="0" borderId="31" xfId="0" applyNumberFormat="1" applyFont="1" applyFill="1" applyBorder="1" applyAlignment="1">
      <alignment horizontal="center" vertical="center" wrapText="1"/>
    </xf>
    <xf numFmtId="0" fontId="52" fillId="0" borderId="32" xfId="0" applyNumberFormat="1" applyFont="1" applyFill="1" applyBorder="1" applyAlignment="1">
      <alignment horizontal="center" vertical="center" wrapText="1"/>
    </xf>
    <xf numFmtId="0" fontId="52" fillId="0" borderId="28" xfId="0" applyNumberFormat="1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wrapText="1"/>
    </xf>
    <xf numFmtId="4" fontId="3" fillId="0" borderId="10" xfId="53" applyNumberFormat="1" applyFont="1" applyFill="1" applyBorder="1" applyAlignment="1">
      <alignment horizontal="center" vertical="center" wrapText="1"/>
      <protection/>
    </xf>
    <xf numFmtId="164" fontId="3" fillId="0" borderId="10" xfId="53" applyNumberFormat="1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vertical="center" wrapText="1"/>
    </xf>
    <xf numFmtId="0" fontId="5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52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165" fontId="52" fillId="0" borderId="0" xfId="0" applyNumberFormat="1" applyFont="1" applyFill="1" applyAlignment="1">
      <alignment/>
    </xf>
    <xf numFmtId="49" fontId="52" fillId="0" borderId="0" xfId="0" applyNumberFormat="1" applyFont="1" applyFill="1" applyAlignment="1">
      <alignment horizontal="left" vertical="center" wrapText="1"/>
    </xf>
    <xf numFmtId="2" fontId="52" fillId="0" borderId="10" xfId="0" applyNumberFormat="1" applyFont="1" applyFill="1" applyBorder="1" applyAlignment="1">
      <alignment horizontal="center" vertical="center"/>
    </xf>
    <xf numFmtId="4" fontId="52" fillId="0" borderId="10" xfId="0" applyNumberFormat="1" applyFont="1" applyFill="1" applyBorder="1" applyAlignment="1">
      <alignment horizontal="center" vertical="center"/>
    </xf>
    <xf numFmtId="49" fontId="52" fillId="0" borderId="10" xfId="0" applyNumberFormat="1" applyFont="1" applyFill="1" applyBorder="1" applyAlignment="1">
      <alignment horizontal="center" vertical="center" wrapText="1"/>
    </xf>
    <xf numFmtId="0" fontId="52" fillId="0" borderId="40" xfId="0" applyFont="1" applyFill="1" applyBorder="1" applyAlignment="1">
      <alignment horizontal="center" vertical="center" wrapText="1"/>
    </xf>
    <xf numFmtId="4" fontId="52" fillId="0" borderId="40" xfId="0" applyNumberFormat="1" applyFont="1" applyFill="1" applyBorder="1" applyAlignment="1">
      <alignment horizontal="center" vertical="center" wrapText="1"/>
    </xf>
    <xf numFmtId="49" fontId="53" fillId="0" borderId="0" xfId="0" applyNumberFormat="1" applyFont="1" applyFill="1" applyAlignment="1">
      <alignment horizontal="left" vertical="center"/>
    </xf>
    <xf numFmtId="0" fontId="53" fillId="0" borderId="0" xfId="0" applyFont="1" applyFill="1" applyAlignment="1">
      <alignment horizontal="center" vertical="center"/>
    </xf>
    <xf numFmtId="4" fontId="52" fillId="0" borderId="40" xfId="0" applyNumberFormat="1" applyFont="1" applyFill="1" applyBorder="1" applyAlignment="1">
      <alignment horizontal="center" vertical="center"/>
    </xf>
    <xf numFmtId="0" fontId="52" fillId="0" borderId="22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10" xfId="55" applyNumberFormat="1" applyFont="1" applyFill="1" applyBorder="1" applyAlignment="1">
      <alignment horizontal="center" vertical="center" wrapText="1"/>
      <protection/>
    </xf>
    <xf numFmtId="0" fontId="2" fillId="0" borderId="25" xfId="0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wrapText="1"/>
    </xf>
    <xf numFmtId="0" fontId="2" fillId="0" borderId="13" xfId="0" applyNumberFormat="1" applyFont="1" applyFill="1" applyBorder="1" applyAlignment="1">
      <alignment horizont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16" fontId="3" fillId="0" borderId="24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2" fillId="0" borderId="101" xfId="0" applyFont="1" applyFill="1" applyBorder="1" applyAlignment="1">
      <alignment horizontal="center" vertical="center" wrapText="1"/>
    </xf>
    <xf numFmtId="0" fontId="52" fillId="0" borderId="102" xfId="0" applyFont="1" applyFill="1" applyBorder="1" applyAlignment="1">
      <alignment horizontal="center" vertical="center" wrapText="1"/>
    </xf>
    <xf numFmtId="4" fontId="52" fillId="0" borderId="102" xfId="0" applyNumberFormat="1" applyFont="1" applyFill="1" applyBorder="1" applyAlignment="1">
      <alignment horizontal="center" vertical="center" wrapText="1"/>
    </xf>
    <xf numFmtId="0" fontId="52" fillId="0" borderId="103" xfId="0" applyFont="1" applyFill="1" applyBorder="1" applyAlignment="1">
      <alignment horizontal="center" vertical="center" wrapText="1"/>
    </xf>
    <xf numFmtId="0" fontId="52" fillId="0" borderId="74" xfId="0" applyFont="1" applyFill="1" applyBorder="1" applyAlignment="1">
      <alignment horizontal="center" vertical="center" wrapText="1"/>
    </xf>
    <xf numFmtId="0" fontId="52" fillId="0" borderId="67" xfId="0" applyFont="1" applyFill="1" applyBorder="1" applyAlignment="1">
      <alignment horizontal="center" vertical="center" wrapText="1"/>
    </xf>
    <xf numFmtId="0" fontId="52" fillId="0" borderId="68" xfId="0" applyFont="1" applyFill="1" applyBorder="1" applyAlignment="1">
      <alignment horizontal="center" vertical="center" wrapText="1"/>
    </xf>
    <xf numFmtId="0" fontId="52" fillId="0" borderId="69" xfId="0" applyFont="1" applyFill="1" applyBorder="1" applyAlignment="1">
      <alignment horizontal="center" vertical="center" wrapText="1"/>
    </xf>
    <xf numFmtId="0" fontId="52" fillId="0" borderId="71" xfId="0" applyFont="1" applyFill="1" applyBorder="1" applyAlignment="1">
      <alignment horizontal="center" vertical="center" wrapText="1"/>
    </xf>
    <xf numFmtId="0" fontId="52" fillId="0" borderId="66" xfId="0" applyFont="1" applyFill="1" applyBorder="1" applyAlignment="1">
      <alignment horizontal="center" vertical="center" wrapText="1"/>
    </xf>
    <xf numFmtId="49" fontId="52" fillId="0" borderId="60" xfId="0" applyNumberFormat="1" applyFont="1" applyFill="1" applyBorder="1" applyAlignment="1">
      <alignment horizontal="center" vertical="center" wrapText="1"/>
    </xf>
    <xf numFmtId="0" fontId="52" fillId="0" borderId="70" xfId="0" applyFont="1" applyFill="1" applyBorder="1" applyAlignment="1">
      <alignment horizontal="center" vertical="center" wrapText="1"/>
    </xf>
    <xf numFmtId="0" fontId="52" fillId="0" borderId="72" xfId="0" applyFont="1" applyFill="1" applyBorder="1" applyAlignment="1">
      <alignment horizontal="center" vertical="center" wrapText="1"/>
    </xf>
    <xf numFmtId="0" fontId="52" fillId="0" borderId="44" xfId="0" applyFont="1" applyFill="1" applyBorder="1" applyAlignment="1">
      <alignment horizontal="center" vertical="center" wrapText="1"/>
    </xf>
    <xf numFmtId="49" fontId="52" fillId="0" borderId="64" xfId="0" applyNumberFormat="1" applyFont="1" applyFill="1" applyBorder="1" applyAlignment="1">
      <alignment horizontal="center" vertical="center" wrapText="1"/>
    </xf>
    <xf numFmtId="0" fontId="52" fillId="0" borderId="61" xfId="0" applyFont="1" applyFill="1" applyBorder="1" applyAlignment="1">
      <alignment horizontal="center" vertical="center" wrapText="1"/>
    </xf>
    <xf numFmtId="49" fontId="52" fillId="0" borderId="45" xfId="0" applyNumberFormat="1" applyFont="1" applyFill="1" applyBorder="1" applyAlignment="1">
      <alignment horizontal="center" vertical="center" wrapText="1"/>
    </xf>
    <xf numFmtId="0" fontId="52" fillId="0" borderId="68" xfId="0" applyFont="1" applyFill="1" applyBorder="1" applyAlignment="1">
      <alignment horizontal="center" vertical="center" wrapText="1"/>
    </xf>
    <xf numFmtId="0" fontId="52" fillId="0" borderId="104" xfId="0" applyFont="1" applyFill="1" applyBorder="1" applyAlignment="1">
      <alignment horizontal="center" vertical="center" wrapText="1"/>
    </xf>
    <xf numFmtId="0" fontId="52" fillId="0" borderId="76" xfId="0" applyFont="1" applyFill="1" applyBorder="1" applyAlignment="1">
      <alignment horizontal="center" vertical="center" wrapText="1"/>
    </xf>
    <xf numFmtId="0" fontId="52" fillId="0" borderId="94" xfId="0" applyFont="1" applyFill="1" applyBorder="1" applyAlignment="1">
      <alignment horizontal="center" vertical="center" wrapText="1"/>
    </xf>
    <xf numFmtId="0" fontId="52" fillId="0" borderId="80" xfId="0" applyFont="1" applyFill="1" applyBorder="1" applyAlignment="1">
      <alignment horizontal="center" vertical="center" wrapText="1"/>
    </xf>
    <xf numFmtId="0" fontId="52" fillId="0" borderId="44" xfId="0" applyFont="1" applyFill="1" applyBorder="1" applyAlignment="1">
      <alignment horizontal="center" vertical="center" wrapText="1"/>
    </xf>
    <xf numFmtId="4" fontId="52" fillId="0" borderId="44" xfId="0" applyNumberFormat="1" applyFont="1" applyFill="1" applyBorder="1" applyAlignment="1">
      <alignment horizontal="center" vertical="center"/>
    </xf>
    <xf numFmtId="4" fontId="52" fillId="0" borderId="44" xfId="0" applyNumberFormat="1" applyFont="1" applyFill="1" applyBorder="1" applyAlignment="1">
      <alignment horizontal="center" vertical="center" wrapText="1"/>
    </xf>
    <xf numFmtId="4" fontId="52" fillId="0" borderId="79" xfId="0" applyNumberFormat="1" applyFont="1" applyFill="1" applyBorder="1" applyAlignment="1">
      <alignment horizontal="center" vertical="center" wrapText="1"/>
    </xf>
    <xf numFmtId="0" fontId="52" fillId="0" borderId="87" xfId="0" applyFont="1" applyFill="1" applyBorder="1" applyAlignment="1">
      <alignment horizontal="center" vertical="center" wrapText="1"/>
    </xf>
    <xf numFmtId="4" fontId="52" fillId="0" borderId="16" xfId="0" applyNumberFormat="1" applyFont="1" applyFill="1" applyBorder="1" applyAlignment="1">
      <alignment horizontal="center" vertical="center" wrapText="1"/>
    </xf>
    <xf numFmtId="4" fontId="52" fillId="0" borderId="71" xfId="0" applyNumberFormat="1" applyFont="1" applyFill="1" applyBorder="1" applyAlignment="1">
      <alignment horizontal="center" vertical="center"/>
    </xf>
    <xf numFmtId="4" fontId="52" fillId="0" borderId="71" xfId="0" applyNumberFormat="1" applyFont="1" applyFill="1" applyBorder="1" applyAlignment="1">
      <alignment horizontal="center" vertical="center" wrapText="1"/>
    </xf>
    <xf numFmtId="0" fontId="52" fillId="0" borderId="67" xfId="0" applyFont="1" applyFill="1" applyBorder="1" applyAlignment="1">
      <alignment horizontal="center" vertical="center" wrapText="1"/>
    </xf>
    <xf numFmtId="0" fontId="52" fillId="0" borderId="104" xfId="0" applyFont="1" applyFill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horizontal="center" vertical="center"/>
    </xf>
    <xf numFmtId="4" fontId="52" fillId="0" borderId="11" xfId="0" applyNumberFormat="1" applyFont="1" applyFill="1" applyBorder="1" applyAlignment="1">
      <alignment horizontal="center" vertical="center" wrapText="1"/>
    </xf>
    <xf numFmtId="0" fontId="52" fillId="0" borderId="105" xfId="0" applyFont="1" applyFill="1" applyBorder="1" applyAlignment="1">
      <alignment horizontal="center" vertical="center" wrapText="1"/>
    </xf>
    <xf numFmtId="0" fontId="52" fillId="0" borderId="106" xfId="0" applyFont="1" applyFill="1" applyBorder="1" applyAlignment="1">
      <alignment horizontal="center" vertical="center" wrapText="1"/>
    </xf>
    <xf numFmtId="0" fontId="52" fillId="0" borderId="107" xfId="0" applyFont="1" applyFill="1" applyBorder="1" applyAlignment="1">
      <alignment horizontal="center" vertical="center" wrapText="1"/>
    </xf>
    <xf numFmtId="0" fontId="52" fillId="0" borderId="108" xfId="0" applyFont="1" applyFill="1" applyBorder="1" applyAlignment="1">
      <alignment horizontal="center" vertical="center" wrapText="1"/>
    </xf>
    <xf numFmtId="0" fontId="52" fillId="0" borderId="94" xfId="0" applyFont="1" applyFill="1" applyBorder="1" applyAlignment="1">
      <alignment horizontal="center" vertical="center" wrapText="1"/>
    </xf>
    <xf numFmtId="4" fontId="52" fillId="0" borderId="13" xfId="0" applyNumberFormat="1" applyFont="1" applyFill="1" applyBorder="1" applyAlignment="1">
      <alignment horizontal="center" vertical="center"/>
    </xf>
    <xf numFmtId="4" fontId="52" fillId="0" borderId="13" xfId="0" applyNumberFormat="1" applyFont="1" applyFill="1" applyBorder="1" applyAlignment="1">
      <alignment horizontal="center" vertical="center" wrapText="1"/>
    </xf>
    <xf numFmtId="4" fontId="52" fillId="0" borderId="62" xfId="0" applyNumberFormat="1" applyFont="1" applyFill="1" applyBorder="1" applyAlignment="1">
      <alignment horizontal="center" vertical="center" wrapText="1"/>
    </xf>
    <xf numFmtId="0" fontId="52" fillId="0" borderId="86" xfId="0" applyFont="1" applyFill="1" applyBorder="1" applyAlignment="1">
      <alignment horizontal="center" vertical="center" wrapText="1"/>
    </xf>
    <xf numFmtId="4" fontId="52" fillId="0" borderId="66" xfId="0" applyNumberFormat="1" applyFont="1" applyFill="1" applyBorder="1" applyAlignment="1">
      <alignment horizontal="center" vertical="center"/>
    </xf>
    <xf numFmtId="0" fontId="52" fillId="0" borderId="46" xfId="0" applyFont="1" applyFill="1" applyBorder="1" applyAlignment="1">
      <alignment horizontal="center" vertical="center" wrapText="1"/>
    </xf>
    <xf numFmtId="0" fontId="52" fillId="0" borderId="71" xfId="0" applyFont="1" applyFill="1" applyBorder="1" applyAlignment="1">
      <alignment horizontal="center" vertical="center"/>
    </xf>
    <xf numFmtId="0" fontId="52" fillId="0" borderId="72" xfId="0" applyFont="1" applyFill="1" applyBorder="1" applyAlignment="1">
      <alignment horizontal="center" vertical="center"/>
    </xf>
    <xf numFmtId="0" fontId="52" fillId="0" borderId="71" xfId="0" applyFont="1" applyFill="1" applyBorder="1" applyAlignment="1">
      <alignment horizontal="center" vertical="center" wrapText="1"/>
    </xf>
    <xf numFmtId="0" fontId="52" fillId="0" borderId="109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/>
    </xf>
    <xf numFmtId="4" fontId="52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/>
    </xf>
    <xf numFmtId="0" fontId="52" fillId="0" borderId="13" xfId="0" applyFont="1" applyFill="1" applyBorder="1" applyAlignment="1">
      <alignment/>
    </xf>
    <xf numFmtId="0" fontId="52" fillId="0" borderId="66" xfId="0" applyFont="1" applyFill="1" applyBorder="1" applyAlignment="1">
      <alignment horizontal="center" vertical="center" wrapText="1"/>
    </xf>
    <xf numFmtId="0" fontId="52" fillId="0" borderId="60" xfId="0" applyFont="1" applyFill="1" applyBorder="1" applyAlignment="1">
      <alignment horizontal="center" vertical="center" wrapText="1"/>
    </xf>
    <xf numFmtId="0" fontId="52" fillId="0" borderId="64" xfId="0" applyFont="1" applyFill="1" applyBorder="1" applyAlignment="1">
      <alignment horizontal="center" vertical="center" wrapText="1"/>
    </xf>
    <xf numFmtId="0" fontId="52" fillId="0" borderId="44" xfId="0" applyFont="1" applyFill="1" applyBorder="1" applyAlignment="1">
      <alignment horizontal="center" vertical="center"/>
    </xf>
    <xf numFmtId="0" fontId="52" fillId="0" borderId="45" xfId="0" applyFont="1" applyFill="1" applyBorder="1" applyAlignment="1">
      <alignment horizontal="center" vertical="center" wrapText="1"/>
    </xf>
    <xf numFmtId="0" fontId="52" fillId="0" borderId="94" xfId="0" applyFont="1" applyFill="1" applyBorder="1" applyAlignment="1">
      <alignment horizontal="center" vertical="center"/>
    </xf>
    <xf numFmtId="0" fontId="52" fillId="0" borderId="110" xfId="0" applyFont="1" applyFill="1" applyBorder="1" applyAlignment="1">
      <alignment horizontal="center" vertical="center" wrapText="1"/>
    </xf>
    <xf numFmtId="164" fontId="52" fillId="0" borderId="67" xfId="0" applyNumberFormat="1" applyFont="1" applyFill="1" applyBorder="1" applyAlignment="1">
      <alignment horizontal="center" vertical="center" wrapText="1"/>
    </xf>
    <xf numFmtId="164" fontId="52" fillId="0" borderId="66" xfId="0" applyNumberFormat="1" applyFont="1" applyFill="1" applyBorder="1" applyAlignment="1">
      <alignment horizontal="center" vertical="center" wrapText="1"/>
    </xf>
    <xf numFmtId="14" fontId="52" fillId="0" borderId="71" xfId="0" applyNumberFormat="1" applyFont="1" applyFill="1" applyBorder="1" applyAlignment="1">
      <alignment horizontal="center" vertical="center" wrapText="1"/>
    </xf>
    <xf numFmtId="4" fontId="52" fillId="0" borderId="104" xfId="0" applyNumberFormat="1" applyFont="1" applyFill="1" applyBorder="1" applyAlignment="1">
      <alignment horizontal="center" vertical="center" wrapText="1"/>
    </xf>
    <xf numFmtId="4" fontId="52" fillId="0" borderId="109" xfId="0" applyNumberFormat="1" applyFont="1" applyFill="1" applyBorder="1" applyAlignment="1">
      <alignment horizontal="center" vertical="center" wrapText="1"/>
    </xf>
    <xf numFmtId="14" fontId="52" fillId="0" borderId="44" xfId="0" applyNumberFormat="1" applyFont="1" applyFill="1" applyBorder="1" applyAlignment="1">
      <alignment horizontal="center" vertical="center" wrapText="1"/>
    </xf>
    <xf numFmtId="4" fontId="52" fillId="0" borderId="87" xfId="0" applyNumberFormat="1" applyFont="1" applyFill="1" applyBorder="1" applyAlignment="1">
      <alignment horizontal="center" vertical="center" wrapText="1"/>
    </xf>
    <xf numFmtId="4" fontId="52" fillId="0" borderId="86" xfId="0" applyNumberFormat="1" applyFont="1" applyFill="1" applyBorder="1" applyAlignment="1">
      <alignment horizontal="center" vertical="center" wrapText="1"/>
    </xf>
    <xf numFmtId="0" fontId="52" fillId="0" borderId="44" xfId="0" applyFont="1" applyFill="1" applyBorder="1" applyAlignment="1">
      <alignment vertical="center" wrapText="1"/>
    </xf>
    <xf numFmtId="0" fontId="52" fillId="0" borderId="107" xfId="0" applyFont="1" applyFill="1" applyBorder="1" applyAlignment="1">
      <alignment horizontal="center" vertical="center" wrapText="1"/>
    </xf>
    <xf numFmtId="49" fontId="52" fillId="0" borderId="111" xfId="0" applyNumberFormat="1" applyFont="1" applyFill="1" applyBorder="1" applyAlignment="1">
      <alignment horizontal="center" vertical="center"/>
    </xf>
    <xf numFmtId="0" fontId="52" fillId="0" borderId="112" xfId="0" applyFont="1" applyFill="1" applyBorder="1" applyAlignment="1">
      <alignment horizontal="center" vertical="center" wrapText="1"/>
    </xf>
    <xf numFmtId="4" fontId="52" fillId="0" borderId="112" xfId="0" applyNumberFormat="1" applyFont="1" applyFill="1" applyBorder="1" applyAlignment="1">
      <alignment horizontal="center" vertical="center"/>
    </xf>
    <xf numFmtId="4" fontId="52" fillId="0" borderId="112" xfId="0" applyNumberFormat="1" applyFont="1" applyFill="1" applyBorder="1" applyAlignment="1">
      <alignment horizontal="center" vertical="center" wrapText="1"/>
    </xf>
    <xf numFmtId="4" fontId="52" fillId="0" borderId="113" xfId="0" applyNumberFormat="1" applyFont="1" applyFill="1" applyBorder="1" applyAlignment="1">
      <alignment horizontal="center" vertical="center" wrapText="1"/>
    </xf>
    <xf numFmtId="165" fontId="52" fillId="0" borderId="12" xfId="0" applyNumberFormat="1" applyFont="1" applyFill="1" applyBorder="1" applyAlignment="1">
      <alignment horizontal="center" vertical="center" wrapText="1"/>
    </xf>
    <xf numFmtId="165" fontId="52" fillId="0" borderId="13" xfId="0" applyNumberFormat="1" applyFont="1" applyFill="1" applyBorder="1" applyAlignment="1">
      <alignment horizontal="center" vertical="center" wrapText="1"/>
    </xf>
    <xf numFmtId="165" fontId="52" fillId="0" borderId="11" xfId="0" applyNumberFormat="1" applyFont="1" applyFill="1" applyBorder="1" applyAlignment="1">
      <alignment horizontal="center" vertical="center" wrapText="1"/>
    </xf>
    <xf numFmtId="0" fontId="52" fillId="0" borderId="114" xfId="0" applyNumberFormat="1" applyFont="1" applyFill="1" applyBorder="1" applyAlignment="1">
      <alignment horizontal="center" vertical="center" wrapText="1"/>
    </xf>
    <xf numFmtId="0" fontId="52" fillId="0" borderId="115" xfId="0" applyFont="1" applyFill="1" applyBorder="1" applyAlignment="1">
      <alignment vertical="center" wrapText="1"/>
    </xf>
    <xf numFmtId="0" fontId="52" fillId="0" borderId="115" xfId="0" applyFont="1" applyFill="1" applyBorder="1" applyAlignment="1">
      <alignment horizontal="center" vertical="center" wrapText="1"/>
    </xf>
    <xf numFmtId="0" fontId="52" fillId="0" borderId="70" xfId="0" applyFont="1" applyFill="1" applyBorder="1" applyAlignment="1">
      <alignment/>
    </xf>
    <xf numFmtId="0" fontId="53" fillId="0" borderId="74" xfId="0" applyFont="1" applyFill="1" applyBorder="1" applyAlignment="1">
      <alignment horizontal="center" vertical="center" wrapText="1"/>
    </xf>
    <xf numFmtId="0" fontId="53" fillId="0" borderId="75" xfId="0" applyFont="1" applyFill="1" applyBorder="1" applyAlignment="1">
      <alignment horizontal="center" vertical="center" wrapText="1"/>
    </xf>
    <xf numFmtId="0" fontId="53" fillId="0" borderId="62" xfId="0" applyFont="1" applyFill="1" applyBorder="1" applyAlignment="1">
      <alignment horizontal="center" vertical="center" wrapText="1"/>
    </xf>
    <xf numFmtId="0" fontId="53" fillId="0" borderId="46" xfId="0" applyFont="1" applyFill="1" applyBorder="1" applyAlignment="1">
      <alignment vertical="center" wrapText="1"/>
    </xf>
    <xf numFmtId="0" fontId="53" fillId="0" borderId="40" xfId="0" applyFont="1" applyFill="1" applyBorder="1" applyAlignment="1">
      <alignment horizontal="center" vertical="center" wrapText="1"/>
    </xf>
    <xf numFmtId="0" fontId="53" fillId="0" borderId="67" xfId="0" applyFont="1" applyFill="1" applyBorder="1" applyAlignment="1">
      <alignment horizontal="center" vertical="center" wrapText="1"/>
    </xf>
    <xf numFmtId="0" fontId="53" fillId="0" borderId="68" xfId="0" applyFont="1" applyFill="1" applyBorder="1" applyAlignment="1">
      <alignment horizontal="center" vertical="center" wrapText="1"/>
    </xf>
    <xf numFmtId="0" fontId="53" fillId="0" borderId="63" xfId="0" applyFont="1" applyFill="1" applyBorder="1" applyAlignment="1">
      <alignment horizontal="center" vertical="center" wrapText="1"/>
    </xf>
    <xf numFmtId="0" fontId="53" fillId="0" borderId="78" xfId="0" applyFont="1" applyFill="1" applyBorder="1" applyAlignment="1">
      <alignment horizontal="center" vertical="center" wrapText="1"/>
    </xf>
    <xf numFmtId="0" fontId="53" fillId="0" borderId="65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3" fillId="0" borderId="65" xfId="0" applyFont="1" applyFill="1" applyBorder="1" applyAlignment="1">
      <alignment horizontal="center" vertical="center"/>
    </xf>
    <xf numFmtId="0" fontId="53" fillId="0" borderId="66" xfId="0" applyFont="1" applyFill="1" applyBorder="1" applyAlignment="1">
      <alignment horizontal="center" vertical="center"/>
    </xf>
    <xf numFmtId="0" fontId="53" fillId="0" borderId="61" xfId="0" applyFont="1" applyFill="1" applyBorder="1" applyAlignment="1">
      <alignment horizontal="center" vertical="center"/>
    </xf>
    <xf numFmtId="0" fontId="53" fillId="0" borderId="44" xfId="0" applyFont="1" applyFill="1" applyBorder="1" applyAlignment="1">
      <alignment horizontal="center" vertical="center"/>
    </xf>
    <xf numFmtId="0" fontId="53" fillId="0" borderId="87" xfId="0" applyFont="1" applyFill="1" applyBorder="1" applyAlignment="1">
      <alignment horizontal="center" vertical="center" wrapText="1"/>
    </xf>
    <xf numFmtId="0" fontId="53" fillId="0" borderId="104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16" fontId="53" fillId="0" borderId="65" xfId="0" applyNumberFormat="1" applyFont="1" applyFill="1" applyBorder="1" applyAlignment="1">
      <alignment horizontal="center" vertical="center" wrapText="1"/>
    </xf>
    <xf numFmtId="16" fontId="53" fillId="0" borderId="66" xfId="0" applyNumberFormat="1" applyFont="1" applyFill="1" applyBorder="1" applyAlignment="1">
      <alignment horizontal="center" vertical="center" wrapText="1"/>
    </xf>
    <xf numFmtId="0" fontId="53" fillId="0" borderId="66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5" xfId="53"/>
    <cellStyle name="Обычный 6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.03.2023%20&#1054;&#1088;&#1077;&#1085;&#1073;&#1091;&#1088;&#1075;%20&#1042;&#1086;&#1081;&#1085;&#1086;&#1074;&#1082;&#1072;\&#1042;&#1086;&#1081;&#1085;&#1086;&#1074;&#1082;&#1072;%20&#1087;&#1088;&#1072;&#1081;&#10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 01 01 23"/>
      <sheetName val="комплексы"/>
    </sheetNames>
    <sheetDataSet>
      <sheetData sheetId="1">
        <row r="13">
          <cell r="E13">
            <v>8448</v>
          </cell>
        </row>
        <row r="20">
          <cell r="E20">
            <v>8690</v>
          </cell>
        </row>
        <row r="27">
          <cell r="E27">
            <v>8716</v>
          </cell>
        </row>
        <row r="33">
          <cell r="E33">
            <v>5684</v>
          </cell>
        </row>
        <row r="38">
          <cell r="E38">
            <v>5926</v>
          </cell>
        </row>
        <row r="44">
          <cell r="E44">
            <v>5926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4.8515625" style="139" customWidth="1"/>
    <col min="2" max="2" width="9.7109375" style="139" customWidth="1"/>
    <col min="3" max="3" width="61.57421875" style="139" customWidth="1"/>
    <col min="4" max="4" width="12.7109375" style="139" customWidth="1"/>
    <col min="5" max="5" width="14.00390625" style="139" customWidth="1"/>
    <col min="6" max="7" width="12.8515625" style="139" customWidth="1"/>
    <col min="8" max="8" width="71.8515625" style="166" customWidth="1"/>
    <col min="9" max="16384" width="9.140625" style="139" customWidth="1"/>
  </cols>
  <sheetData>
    <row r="1" spans="1:8" ht="15.75">
      <c r="A1" s="69"/>
      <c r="B1" s="136"/>
      <c r="C1" s="136"/>
      <c r="D1" s="137"/>
      <c r="E1" s="137"/>
      <c r="F1" s="137"/>
      <c r="G1" s="138"/>
      <c r="H1" s="69"/>
    </row>
    <row r="2" spans="1:8" ht="15.75">
      <c r="A2" s="69"/>
      <c r="B2" s="136"/>
      <c r="C2" s="136"/>
      <c r="D2" s="137"/>
      <c r="E2" s="137"/>
      <c r="F2" s="137"/>
      <c r="H2" s="140" t="s">
        <v>0</v>
      </c>
    </row>
    <row r="3" spans="1:8" ht="15.75">
      <c r="A3" s="69"/>
      <c r="B3" s="136"/>
      <c r="C3" s="136"/>
      <c r="D3" s="137"/>
      <c r="E3" s="137"/>
      <c r="F3" s="137"/>
      <c r="H3" s="141" t="s">
        <v>1</v>
      </c>
    </row>
    <row r="4" spans="1:8" ht="15.75">
      <c r="A4" s="69"/>
      <c r="B4" s="136"/>
      <c r="C4" s="136"/>
      <c r="D4" s="137"/>
      <c r="E4" s="137"/>
      <c r="F4" s="137"/>
      <c r="H4" s="142" t="s">
        <v>2</v>
      </c>
    </row>
    <row r="5" spans="1:8" ht="15.75">
      <c r="A5" s="69"/>
      <c r="B5" s="136"/>
      <c r="C5" s="136"/>
      <c r="D5" s="137"/>
      <c r="E5" s="137"/>
      <c r="F5" s="137"/>
      <c r="H5" s="143"/>
    </row>
    <row r="6" spans="1:8" ht="15.75">
      <c r="A6" s="69"/>
      <c r="B6" s="136"/>
      <c r="C6" s="136"/>
      <c r="D6" s="137"/>
      <c r="E6" s="137"/>
      <c r="F6" s="137"/>
      <c r="H6" s="111" t="s">
        <v>3</v>
      </c>
    </row>
    <row r="7" spans="1:8" ht="15.75">
      <c r="A7" s="69"/>
      <c r="B7" s="136"/>
      <c r="C7" s="136"/>
      <c r="D7" s="137"/>
      <c r="E7" s="137"/>
      <c r="F7" s="137"/>
      <c r="G7" s="6"/>
      <c r="H7" s="144"/>
    </row>
    <row r="8" spans="1:8" ht="15.75">
      <c r="A8" s="523" t="s">
        <v>4</v>
      </c>
      <c r="B8" s="523"/>
      <c r="C8" s="523"/>
      <c r="D8" s="523"/>
      <c r="E8" s="523"/>
      <c r="F8" s="523"/>
      <c r="G8" s="523"/>
      <c r="H8" s="523"/>
    </row>
    <row r="9" spans="1:8" ht="15.75">
      <c r="A9" s="523" t="s">
        <v>244</v>
      </c>
      <c r="B9" s="523"/>
      <c r="C9" s="523"/>
      <c r="D9" s="523"/>
      <c r="E9" s="523"/>
      <c r="F9" s="523"/>
      <c r="G9" s="523"/>
      <c r="H9" s="523"/>
    </row>
    <row r="10" spans="1:8" ht="15.75">
      <c r="A10" s="523" t="s">
        <v>559</v>
      </c>
      <c r="B10" s="523"/>
      <c r="C10" s="523"/>
      <c r="D10" s="523"/>
      <c r="E10" s="523"/>
      <c r="F10" s="523"/>
      <c r="G10" s="523"/>
      <c r="H10" s="523"/>
    </row>
    <row r="11" spans="1:8" ht="15.75">
      <c r="A11" s="523" t="s">
        <v>560</v>
      </c>
      <c r="B11" s="523"/>
      <c r="C11" s="523"/>
      <c r="D11" s="523"/>
      <c r="E11" s="523"/>
      <c r="F11" s="523"/>
      <c r="G11" s="523"/>
      <c r="H11" s="523"/>
    </row>
    <row r="12" spans="1:8" ht="15.75">
      <c r="A12" s="524"/>
      <c r="B12" s="524"/>
      <c r="C12" s="524"/>
      <c r="D12" s="524"/>
      <c r="E12" s="524"/>
      <c r="F12" s="524"/>
      <c r="G12" s="524"/>
      <c r="H12" s="524"/>
    </row>
    <row r="13" spans="1:8" ht="47.25">
      <c r="A13" s="9" t="s">
        <v>8</v>
      </c>
      <c r="B13" s="9" t="s">
        <v>9</v>
      </c>
      <c r="C13" s="9" t="s">
        <v>10</v>
      </c>
      <c r="D13" s="9" t="s">
        <v>11</v>
      </c>
      <c r="E13" s="9" t="s">
        <v>12</v>
      </c>
      <c r="F13" s="9" t="s">
        <v>13</v>
      </c>
      <c r="G13" s="146" t="s">
        <v>14</v>
      </c>
      <c r="H13" s="9" t="s">
        <v>15</v>
      </c>
    </row>
    <row r="14" spans="1:8" ht="15.75">
      <c r="A14" s="525" t="s">
        <v>16</v>
      </c>
      <c r="B14" s="525"/>
      <c r="C14" s="525"/>
      <c r="D14" s="525"/>
      <c r="E14" s="525"/>
      <c r="F14" s="525"/>
      <c r="G14" s="525"/>
      <c r="H14" s="525"/>
    </row>
    <row r="15" spans="1:8" ht="15.75">
      <c r="A15" s="526" t="s">
        <v>17</v>
      </c>
      <c r="B15" s="526"/>
      <c r="C15" s="525" t="s">
        <v>18</v>
      </c>
      <c r="D15" s="525"/>
      <c r="E15" s="525"/>
      <c r="F15" s="525"/>
      <c r="G15" s="525"/>
      <c r="H15" s="525"/>
    </row>
    <row r="16" spans="1:8" ht="15.75">
      <c r="A16" s="527" t="s">
        <v>177</v>
      </c>
      <c r="B16" s="526" t="s">
        <v>19</v>
      </c>
      <c r="C16" s="528" t="s">
        <v>20</v>
      </c>
      <c r="D16" s="527" t="s">
        <v>21</v>
      </c>
      <c r="E16" s="30" t="s">
        <v>22</v>
      </c>
      <c r="F16" s="527" t="s">
        <v>76</v>
      </c>
      <c r="G16" s="527"/>
      <c r="H16" s="527" t="s">
        <v>178</v>
      </c>
    </row>
    <row r="17" spans="1:8" ht="15.75">
      <c r="A17" s="527"/>
      <c r="B17" s="526"/>
      <c r="C17" s="528"/>
      <c r="D17" s="527"/>
      <c r="E17" s="30" t="s">
        <v>38</v>
      </c>
      <c r="F17" s="527" t="s">
        <v>76</v>
      </c>
      <c r="G17" s="527"/>
      <c r="H17" s="527"/>
    </row>
    <row r="18" spans="1:8" ht="15.75">
      <c r="A18" s="527"/>
      <c r="B18" s="526"/>
      <c r="C18" s="528"/>
      <c r="D18" s="12" t="s">
        <v>25</v>
      </c>
      <c r="E18" s="83"/>
      <c r="F18" s="527" t="s">
        <v>76</v>
      </c>
      <c r="G18" s="527"/>
      <c r="H18" s="527"/>
    </row>
    <row r="19" spans="1:8" ht="15.75">
      <c r="A19" s="527" t="s">
        <v>179</v>
      </c>
      <c r="B19" s="526" t="s">
        <v>28</v>
      </c>
      <c r="C19" s="528" t="s">
        <v>180</v>
      </c>
      <c r="D19" s="527" t="s">
        <v>21</v>
      </c>
      <c r="E19" s="30" t="s">
        <v>22</v>
      </c>
      <c r="F19" s="527" t="s">
        <v>76</v>
      </c>
      <c r="G19" s="527"/>
      <c r="H19" s="527" t="s">
        <v>181</v>
      </c>
    </row>
    <row r="20" spans="1:8" ht="15.75">
      <c r="A20" s="527"/>
      <c r="B20" s="526"/>
      <c r="C20" s="528"/>
      <c r="D20" s="527"/>
      <c r="E20" s="30" t="s">
        <v>38</v>
      </c>
      <c r="F20" s="527" t="s">
        <v>76</v>
      </c>
      <c r="G20" s="527"/>
      <c r="H20" s="527"/>
    </row>
    <row r="21" spans="1:8" ht="15.75">
      <c r="A21" s="527"/>
      <c r="B21" s="526"/>
      <c r="C21" s="528"/>
      <c r="D21" s="12" t="s">
        <v>25</v>
      </c>
      <c r="E21" s="83"/>
      <c r="F21" s="527" t="s">
        <v>76</v>
      </c>
      <c r="G21" s="527"/>
      <c r="H21" s="527"/>
    </row>
    <row r="22" spans="1:8" ht="15.75">
      <c r="A22" s="527" t="s">
        <v>182</v>
      </c>
      <c r="B22" s="526" t="s">
        <v>31</v>
      </c>
      <c r="C22" s="528" t="s">
        <v>32</v>
      </c>
      <c r="D22" s="527" t="s">
        <v>21</v>
      </c>
      <c r="E22" s="30" t="s">
        <v>22</v>
      </c>
      <c r="F22" s="527" t="s">
        <v>76</v>
      </c>
      <c r="G22" s="527"/>
      <c r="H22" s="527" t="s">
        <v>181</v>
      </c>
    </row>
    <row r="23" spans="1:8" ht="15.75">
      <c r="A23" s="527"/>
      <c r="B23" s="526"/>
      <c r="C23" s="528"/>
      <c r="D23" s="527"/>
      <c r="E23" s="30" t="s">
        <v>38</v>
      </c>
      <c r="F23" s="527" t="s">
        <v>76</v>
      </c>
      <c r="G23" s="527"/>
      <c r="H23" s="527"/>
    </row>
    <row r="24" spans="1:8" ht="15.75">
      <c r="A24" s="527"/>
      <c r="B24" s="526"/>
      <c r="C24" s="528"/>
      <c r="D24" s="12" t="s">
        <v>25</v>
      </c>
      <c r="E24" s="83"/>
      <c r="F24" s="527" t="s">
        <v>76</v>
      </c>
      <c r="G24" s="527"/>
      <c r="H24" s="527"/>
    </row>
    <row r="25" spans="1:8" ht="15.75">
      <c r="A25" s="527" t="s">
        <v>183</v>
      </c>
      <c r="B25" s="529" t="s">
        <v>184</v>
      </c>
      <c r="C25" s="526" t="s">
        <v>34</v>
      </c>
      <c r="D25" s="526"/>
      <c r="E25" s="526"/>
      <c r="F25" s="526"/>
      <c r="G25" s="526"/>
      <c r="H25" s="526"/>
    </row>
    <row r="26" spans="1:8" ht="15.75">
      <c r="A26" s="527"/>
      <c r="B26" s="530"/>
      <c r="C26" s="23" t="s">
        <v>561</v>
      </c>
      <c r="D26" s="30" t="s">
        <v>21</v>
      </c>
      <c r="E26" s="30" t="s">
        <v>22</v>
      </c>
      <c r="F26" s="147">
        <v>16803</v>
      </c>
      <c r="G26" s="147">
        <f>F26*1.2</f>
        <v>20163.6</v>
      </c>
      <c r="H26" s="531" t="s">
        <v>562</v>
      </c>
    </row>
    <row r="27" spans="1:8" ht="15.75">
      <c r="A27" s="527"/>
      <c r="B27" s="530"/>
      <c r="C27" s="23" t="s">
        <v>563</v>
      </c>
      <c r="D27" s="30" t="s">
        <v>21</v>
      </c>
      <c r="E27" s="30" t="s">
        <v>22</v>
      </c>
      <c r="F27" s="147">
        <v>19202</v>
      </c>
      <c r="G27" s="147">
        <f>F27*1.2</f>
        <v>23042.399999999998</v>
      </c>
      <c r="H27" s="532"/>
    </row>
    <row r="28" spans="1:8" ht="15.75">
      <c r="A28" s="527"/>
      <c r="B28" s="530"/>
      <c r="C28" s="23" t="s">
        <v>564</v>
      </c>
      <c r="D28" s="30" t="s">
        <v>21</v>
      </c>
      <c r="E28" s="30" t="s">
        <v>22</v>
      </c>
      <c r="F28" s="147">
        <v>30795</v>
      </c>
      <c r="G28" s="147">
        <f>F28*1.2</f>
        <v>36954</v>
      </c>
      <c r="H28" s="532"/>
    </row>
    <row r="29" spans="1:8" ht="15.75">
      <c r="A29" s="527"/>
      <c r="B29" s="530"/>
      <c r="C29" s="23" t="s">
        <v>565</v>
      </c>
      <c r="D29" s="30" t="s">
        <v>21</v>
      </c>
      <c r="E29" s="30" t="s">
        <v>22</v>
      </c>
      <c r="F29" s="147">
        <v>21996</v>
      </c>
      <c r="G29" s="147">
        <f>F29*1.2</f>
        <v>26395.2</v>
      </c>
      <c r="H29" s="532"/>
    </row>
    <row r="30" spans="1:8" ht="15.75">
      <c r="A30" s="527"/>
      <c r="B30" s="530"/>
      <c r="C30" s="23" t="s">
        <v>566</v>
      </c>
      <c r="D30" s="30" t="s">
        <v>21</v>
      </c>
      <c r="E30" s="30" t="s">
        <v>22</v>
      </c>
      <c r="F30" s="147">
        <v>28113</v>
      </c>
      <c r="G30" s="147">
        <f>F30*1.2</f>
        <v>33735.6</v>
      </c>
      <c r="H30" s="533"/>
    </row>
    <row r="31" spans="1:8" ht="15.75">
      <c r="A31" s="527" t="s">
        <v>263</v>
      </c>
      <c r="B31" s="529" t="s">
        <v>197</v>
      </c>
      <c r="C31" s="526" t="s">
        <v>567</v>
      </c>
      <c r="D31" s="526"/>
      <c r="E31" s="526"/>
      <c r="F31" s="526"/>
      <c r="G31" s="526"/>
      <c r="H31" s="526"/>
    </row>
    <row r="32" spans="1:8" ht="47.25">
      <c r="A32" s="527"/>
      <c r="B32" s="530"/>
      <c r="C32" s="65" t="s">
        <v>199</v>
      </c>
      <c r="D32" s="65" t="s">
        <v>21</v>
      </c>
      <c r="E32" s="65" t="s">
        <v>22</v>
      </c>
      <c r="F32" s="62">
        <v>8022</v>
      </c>
      <c r="G32" s="62">
        <f>F32*1.2</f>
        <v>9626.4</v>
      </c>
      <c r="H32" s="73" t="s">
        <v>264</v>
      </c>
    </row>
    <row r="33" spans="1:8" ht="47.25">
      <c r="A33" s="527"/>
      <c r="B33" s="539"/>
      <c r="C33" s="65" t="s">
        <v>202</v>
      </c>
      <c r="D33" s="65" t="s">
        <v>21</v>
      </c>
      <c r="E33" s="65" t="s">
        <v>22</v>
      </c>
      <c r="F33" s="62">
        <v>5498</v>
      </c>
      <c r="G33" s="62">
        <f>F33*1.2</f>
        <v>6597.599999999999</v>
      </c>
      <c r="H33" s="73" t="s">
        <v>264</v>
      </c>
    </row>
    <row r="34" spans="1:8" ht="15.75">
      <c r="A34" s="534" t="s">
        <v>267</v>
      </c>
      <c r="B34" s="535" t="s">
        <v>57</v>
      </c>
      <c r="C34" s="534" t="s">
        <v>58</v>
      </c>
      <c r="D34" s="534" t="s">
        <v>21</v>
      </c>
      <c r="E34" s="65" t="s">
        <v>22</v>
      </c>
      <c r="F34" s="534" t="s">
        <v>76</v>
      </c>
      <c r="G34" s="534"/>
      <c r="H34" s="534"/>
    </row>
    <row r="35" spans="1:8" ht="15.75">
      <c r="A35" s="534"/>
      <c r="B35" s="535"/>
      <c r="C35" s="534"/>
      <c r="D35" s="534"/>
      <c r="E35" s="65" t="s">
        <v>38</v>
      </c>
      <c r="F35" s="534" t="s">
        <v>76</v>
      </c>
      <c r="G35" s="534"/>
      <c r="H35" s="534"/>
    </row>
    <row r="36" spans="1:8" ht="15.75">
      <c r="A36" s="534"/>
      <c r="B36" s="535"/>
      <c r="C36" s="534"/>
      <c r="D36" s="65" t="s">
        <v>25</v>
      </c>
      <c r="E36" s="65" t="s">
        <v>25</v>
      </c>
      <c r="F36" s="534" t="s">
        <v>76</v>
      </c>
      <c r="G36" s="534"/>
      <c r="H36" s="534"/>
    </row>
    <row r="37" spans="1:8" ht="15.75">
      <c r="A37" s="526" t="s">
        <v>68</v>
      </c>
      <c r="B37" s="526"/>
      <c r="C37" s="526"/>
      <c r="D37" s="526"/>
      <c r="E37" s="526"/>
      <c r="F37" s="526"/>
      <c r="G37" s="526"/>
      <c r="H37" s="526"/>
    </row>
    <row r="38" spans="1:8" ht="15.75">
      <c r="A38" s="526" t="s">
        <v>69</v>
      </c>
      <c r="B38" s="526"/>
      <c r="C38" s="526" t="s">
        <v>70</v>
      </c>
      <c r="D38" s="526"/>
      <c r="E38" s="526"/>
      <c r="F38" s="526"/>
      <c r="G38" s="526"/>
      <c r="H38" s="526"/>
    </row>
    <row r="39" spans="1:8" ht="15.75">
      <c r="A39" s="527" t="s">
        <v>203</v>
      </c>
      <c r="B39" s="526" t="s">
        <v>204</v>
      </c>
      <c r="C39" s="527" t="s">
        <v>72</v>
      </c>
      <c r="D39" s="527" t="s">
        <v>21</v>
      </c>
      <c r="E39" s="26" t="s">
        <v>22</v>
      </c>
      <c r="F39" s="527" t="s">
        <v>76</v>
      </c>
      <c r="G39" s="527"/>
      <c r="H39" s="527"/>
    </row>
    <row r="40" spans="1:8" ht="15.75">
      <c r="A40" s="527"/>
      <c r="B40" s="526"/>
      <c r="C40" s="527"/>
      <c r="D40" s="527"/>
      <c r="E40" s="26" t="s">
        <v>38</v>
      </c>
      <c r="F40" s="527" t="s">
        <v>76</v>
      </c>
      <c r="G40" s="527"/>
      <c r="H40" s="527"/>
    </row>
    <row r="41" spans="1:8" ht="15.75">
      <c r="A41" s="527"/>
      <c r="B41" s="526"/>
      <c r="C41" s="527"/>
      <c r="D41" s="30" t="s">
        <v>25</v>
      </c>
      <c r="E41" s="83"/>
      <c r="F41" s="527" t="s">
        <v>76</v>
      </c>
      <c r="G41" s="527"/>
      <c r="H41" s="527"/>
    </row>
    <row r="42" spans="1:8" ht="78.75">
      <c r="A42" s="536" t="s">
        <v>205</v>
      </c>
      <c r="B42" s="529" t="s">
        <v>73</v>
      </c>
      <c r="C42" s="536" t="s">
        <v>74</v>
      </c>
      <c r="D42" s="536" t="s">
        <v>75</v>
      </c>
      <c r="E42" s="540" t="s">
        <v>36</v>
      </c>
      <c r="F42" s="62">
        <v>300</v>
      </c>
      <c r="G42" s="62">
        <f aca="true" t="shared" si="0" ref="G42:G49">F42*1.2</f>
        <v>360</v>
      </c>
      <c r="H42" s="63" t="s">
        <v>80</v>
      </c>
    </row>
    <row r="43" spans="1:8" ht="78.75">
      <c r="A43" s="537"/>
      <c r="B43" s="530"/>
      <c r="C43" s="537"/>
      <c r="D43" s="537"/>
      <c r="E43" s="541"/>
      <c r="F43" s="64">
        <v>600</v>
      </c>
      <c r="G43" s="62">
        <f t="shared" si="0"/>
        <v>720</v>
      </c>
      <c r="H43" s="63" t="s">
        <v>81</v>
      </c>
    </row>
    <row r="44" spans="1:8" ht="78.75">
      <c r="A44" s="537"/>
      <c r="B44" s="530"/>
      <c r="C44" s="537"/>
      <c r="D44" s="538"/>
      <c r="E44" s="542"/>
      <c r="F44" s="64">
        <v>1000</v>
      </c>
      <c r="G44" s="62">
        <f t="shared" si="0"/>
        <v>1200</v>
      </c>
      <c r="H44" s="63" t="s">
        <v>82</v>
      </c>
    </row>
    <row r="45" spans="1:8" ht="78.75">
      <c r="A45" s="537"/>
      <c r="B45" s="530"/>
      <c r="C45" s="537"/>
      <c r="D45" s="536" t="s">
        <v>75</v>
      </c>
      <c r="E45" s="540" t="s">
        <v>206</v>
      </c>
      <c r="F45" s="64">
        <v>500</v>
      </c>
      <c r="G45" s="62">
        <f t="shared" si="0"/>
        <v>600</v>
      </c>
      <c r="H45" s="63" t="s">
        <v>80</v>
      </c>
    </row>
    <row r="46" spans="1:8" ht="78.75">
      <c r="A46" s="537"/>
      <c r="B46" s="530"/>
      <c r="C46" s="537"/>
      <c r="D46" s="537"/>
      <c r="E46" s="541"/>
      <c r="F46" s="64">
        <v>750</v>
      </c>
      <c r="G46" s="62">
        <f t="shared" si="0"/>
        <v>900</v>
      </c>
      <c r="H46" s="63" t="s">
        <v>81</v>
      </c>
    </row>
    <row r="47" spans="1:8" ht="78.75">
      <c r="A47" s="537"/>
      <c r="B47" s="530"/>
      <c r="C47" s="537"/>
      <c r="D47" s="538"/>
      <c r="E47" s="542"/>
      <c r="F47" s="64">
        <v>1000</v>
      </c>
      <c r="G47" s="62">
        <f t="shared" si="0"/>
        <v>1200</v>
      </c>
      <c r="H47" s="63" t="s">
        <v>82</v>
      </c>
    </row>
    <row r="48" spans="1:8" ht="78.75">
      <c r="A48" s="537"/>
      <c r="B48" s="530"/>
      <c r="C48" s="537"/>
      <c r="D48" s="527" t="s">
        <v>207</v>
      </c>
      <c r="E48" s="26" t="s">
        <v>25</v>
      </c>
      <c r="F48" s="62">
        <v>2112</v>
      </c>
      <c r="G48" s="62">
        <f t="shared" si="0"/>
        <v>2534.4</v>
      </c>
      <c r="H48" s="63" t="s">
        <v>208</v>
      </c>
    </row>
    <row r="49" spans="1:8" ht="78.75">
      <c r="A49" s="537"/>
      <c r="B49" s="530"/>
      <c r="C49" s="537"/>
      <c r="D49" s="527"/>
      <c r="E49" s="26" t="s">
        <v>25</v>
      </c>
      <c r="F49" s="62">
        <v>3168</v>
      </c>
      <c r="G49" s="62">
        <f t="shared" si="0"/>
        <v>3801.6</v>
      </c>
      <c r="H49" s="63" t="s">
        <v>85</v>
      </c>
    </row>
    <row r="50" spans="1:8" ht="63">
      <c r="A50" s="537"/>
      <c r="B50" s="530"/>
      <c r="C50" s="537"/>
      <c r="D50" s="65" t="s">
        <v>75</v>
      </c>
      <c r="E50" s="64" t="s">
        <v>21</v>
      </c>
      <c r="F50" s="65" t="s">
        <v>76</v>
      </c>
      <c r="G50" s="65"/>
      <c r="H50" s="126" t="s">
        <v>77</v>
      </c>
    </row>
    <row r="51" spans="1:8" ht="15.75">
      <c r="A51" s="538"/>
      <c r="B51" s="539"/>
      <c r="C51" s="538"/>
      <c r="D51" s="66" t="s">
        <v>78</v>
      </c>
      <c r="E51" s="64" t="s">
        <v>25</v>
      </c>
      <c r="F51" s="65" t="s">
        <v>76</v>
      </c>
      <c r="G51" s="65"/>
      <c r="H51" s="127"/>
    </row>
    <row r="52" spans="1:8" ht="15.75">
      <c r="A52" s="526" t="s">
        <v>86</v>
      </c>
      <c r="B52" s="526"/>
      <c r="C52" s="526" t="s">
        <v>87</v>
      </c>
      <c r="D52" s="526"/>
      <c r="E52" s="526"/>
      <c r="F52" s="526"/>
      <c r="G52" s="526"/>
      <c r="H52" s="526"/>
    </row>
    <row r="53" spans="1:8" ht="31.5">
      <c r="A53" s="545">
        <v>9</v>
      </c>
      <c r="B53" s="546" t="s">
        <v>88</v>
      </c>
      <c r="C53" s="18" t="s">
        <v>90</v>
      </c>
      <c r="D53" s="23" t="s">
        <v>91</v>
      </c>
      <c r="E53" s="26" t="s">
        <v>22</v>
      </c>
      <c r="F53" s="33">
        <v>1262</v>
      </c>
      <c r="G53" s="26">
        <f>F53*1.2</f>
        <v>1514.3999999999999</v>
      </c>
      <c r="H53" s="12" t="s">
        <v>568</v>
      </c>
    </row>
    <row r="54" spans="1:8" ht="31.5">
      <c r="A54" s="545"/>
      <c r="B54" s="546"/>
      <c r="C54" s="12" t="s">
        <v>90</v>
      </c>
      <c r="D54" s="23" t="s">
        <v>91</v>
      </c>
      <c r="E54" s="26" t="s">
        <v>22</v>
      </c>
      <c r="F54" s="33">
        <v>1262</v>
      </c>
      <c r="G54" s="26">
        <f>F54*1.2</f>
        <v>1514.3999999999999</v>
      </c>
      <c r="H54" s="12" t="s">
        <v>569</v>
      </c>
    </row>
    <row r="55" spans="1:8" ht="157.5">
      <c r="A55" s="148">
        <v>10</v>
      </c>
      <c r="B55" s="11" t="s">
        <v>97</v>
      </c>
      <c r="C55" s="23" t="s">
        <v>96</v>
      </c>
      <c r="D55" s="23" t="s">
        <v>79</v>
      </c>
      <c r="E55" s="26" t="s">
        <v>22</v>
      </c>
      <c r="F55" s="149">
        <v>157</v>
      </c>
      <c r="G55" s="26">
        <f>F55*1.2</f>
        <v>188.4</v>
      </c>
      <c r="H55" s="23" t="s">
        <v>686</v>
      </c>
    </row>
    <row r="56" spans="1:8" ht="31.5">
      <c r="A56" s="134">
        <v>11</v>
      </c>
      <c r="B56" s="11" t="s">
        <v>103</v>
      </c>
      <c r="C56" s="19" t="s">
        <v>219</v>
      </c>
      <c r="D56" s="19" t="s">
        <v>220</v>
      </c>
      <c r="E56" s="26" t="s">
        <v>221</v>
      </c>
      <c r="F56" s="26">
        <v>603</v>
      </c>
      <c r="G56" s="26">
        <f>F56*1.2</f>
        <v>723.6</v>
      </c>
      <c r="H56" s="23" t="s">
        <v>222</v>
      </c>
    </row>
    <row r="57" spans="1:8" ht="78.75">
      <c r="A57" s="135">
        <v>12</v>
      </c>
      <c r="B57" s="11" t="s">
        <v>570</v>
      </c>
      <c r="C57" s="19" t="s">
        <v>126</v>
      </c>
      <c r="D57" s="61" t="s">
        <v>119</v>
      </c>
      <c r="E57" s="61"/>
      <c r="F57" s="547" t="s">
        <v>131</v>
      </c>
      <c r="G57" s="548"/>
      <c r="H57" s="61" t="s">
        <v>132</v>
      </c>
    </row>
    <row r="58" spans="1:8" ht="15.75">
      <c r="A58" s="549" t="s">
        <v>136</v>
      </c>
      <c r="B58" s="550"/>
      <c r="C58" s="551" t="s">
        <v>137</v>
      </c>
      <c r="D58" s="552"/>
      <c r="E58" s="552"/>
      <c r="F58" s="552"/>
      <c r="G58" s="552"/>
      <c r="H58" s="553"/>
    </row>
    <row r="59" spans="1:8" ht="31.5">
      <c r="A59" s="18">
        <v>13</v>
      </c>
      <c r="B59" s="11" t="s">
        <v>139</v>
      </c>
      <c r="C59" s="23" t="s">
        <v>140</v>
      </c>
      <c r="D59" s="23" t="s">
        <v>21</v>
      </c>
      <c r="E59" s="26" t="s">
        <v>221</v>
      </c>
      <c r="F59" s="555" t="s">
        <v>76</v>
      </c>
      <c r="G59" s="556"/>
      <c r="H59" s="23" t="s">
        <v>428</v>
      </c>
    </row>
    <row r="60" spans="1:8" ht="15.75">
      <c r="A60" s="21"/>
      <c r="B60" s="529" t="s">
        <v>143</v>
      </c>
      <c r="C60" s="543" t="s">
        <v>144</v>
      </c>
      <c r="D60" s="557" t="s">
        <v>21</v>
      </c>
      <c r="E60" s="26" t="s">
        <v>22</v>
      </c>
      <c r="F60" s="559" t="s">
        <v>76</v>
      </c>
      <c r="G60" s="560"/>
      <c r="H60" s="543" t="s">
        <v>226</v>
      </c>
    </row>
    <row r="61" spans="1:8" ht="15.75">
      <c r="A61" s="150">
        <v>14</v>
      </c>
      <c r="B61" s="539"/>
      <c r="C61" s="544"/>
      <c r="D61" s="558"/>
      <c r="E61" s="26" t="s">
        <v>38</v>
      </c>
      <c r="F61" s="561"/>
      <c r="G61" s="562"/>
      <c r="H61" s="544"/>
    </row>
    <row r="62" spans="1:8" ht="15.75">
      <c r="A62" s="151"/>
      <c r="B62" s="554" t="s">
        <v>148</v>
      </c>
      <c r="C62" s="543" t="s">
        <v>227</v>
      </c>
      <c r="D62" s="23"/>
      <c r="E62" s="26"/>
      <c r="F62" s="23"/>
      <c r="G62" s="26"/>
      <c r="H62" s="23"/>
    </row>
    <row r="63" spans="1:8" ht="31.5">
      <c r="A63" s="23">
        <v>15</v>
      </c>
      <c r="B63" s="554"/>
      <c r="C63" s="544"/>
      <c r="D63" s="23" t="s">
        <v>106</v>
      </c>
      <c r="E63" s="26" t="s">
        <v>22</v>
      </c>
      <c r="F63" s="23">
        <v>212</v>
      </c>
      <c r="G63" s="26">
        <f>F63*1.2</f>
        <v>254.39999999999998</v>
      </c>
      <c r="H63" s="21" t="s">
        <v>235</v>
      </c>
    </row>
    <row r="64" spans="1:8" ht="31.5">
      <c r="A64" s="23">
        <v>16</v>
      </c>
      <c r="B64" s="76" t="s">
        <v>155</v>
      </c>
      <c r="C64" s="61" t="s">
        <v>319</v>
      </c>
      <c r="D64" s="152" t="s">
        <v>119</v>
      </c>
      <c r="E64" s="26" t="s">
        <v>221</v>
      </c>
      <c r="F64" s="33">
        <v>2181.91</v>
      </c>
      <c r="G64" s="33">
        <f>F64*1.2</f>
        <v>2618.292</v>
      </c>
      <c r="H64" s="23"/>
    </row>
    <row r="65" spans="1:8" ht="15.75">
      <c r="A65" s="153"/>
      <c r="B65" s="153"/>
      <c r="C65" s="153"/>
      <c r="D65" s="153"/>
      <c r="E65" s="153"/>
      <c r="F65" s="153"/>
      <c r="G65" s="154"/>
      <c r="H65" s="153"/>
    </row>
    <row r="66" spans="1:8" ht="15.75">
      <c r="A66" s="50" t="s">
        <v>241</v>
      </c>
      <c r="B66" s="50"/>
      <c r="C66" s="50"/>
      <c r="D66" s="1"/>
      <c r="E66" s="1"/>
      <c r="F66" s="155"/>
      <c r="G66" s="156"/>
      <c r="H66" s="155"/>
    </row>
    <row r="67" spans="1:8" ht="15.75">
      <c r="A67" s="50"/>
      <c r="B67" s="50"/>
      <c r="C67" s="50"/>
      <c r="D67" s="101"/>
      <c r="E67" s="1"/>
      <c r="F67" s="157"/>
      <c r="G67" s="158"/>
      <c r="H67" s="159"/>
    </row>
    <row r="68" spans="1:8" ht="15.75">
      <c r="A68" s="50" t="s">
        <v>167</v>
      </c>
      <c r="B68" s="50"/>
      <c r="C68" s="50"/>
      <c r="D68" s="101"/>
      <c r="E68" s="106" t="s">
        <v>168</v>
      </c>
      <c r="F68" s="157"/>
      <c r="G68" s="158"/>
      <c r="H68" s="159"/>
    </row>
    <row r="69" spans="1:8" ht="15.75">
      <c r="A69" s="50"/>
      <c r="B69" s="50"/>
      <c r="C69" s="50"/>
      <c r="D69" s="101"/>
      <c r="E69" s="1"/>
      <c r="F69" s="157"/>
      <c r="G69" s="158"/>
      <c r="H69" s="159"/>
    </row>
    <row r="70" spans="1:8" ht="15.75">
      <c r="A70" s="50" t="s">
        <v>169</v>
      </c>
      <c r="B70" s="50"/>
      <c r="C70" s="50"/>
      <c r="D70" s="101"/>
      <c r="E70" s="106" t="s">
        <v>170</v>
      </c>
      <c r="F70" s="160"/>
      <c r="G70" s="161"/>
      <c r="H70" s="162"/>
    </row>
    <row r="71" spans="1:8" ht="15.75">
      <c r="A71" s="50"/>
      <c r="B71" s="50"/>
      <c r="C71" s="50"/>
      <c r="D71" s="101"/>
      <c r="E71" s="1"/>
      <c r="F71" s="160"/>
      <c r="G71" s="161"/>
      <c r="H71" s="162"/>
    </row>
    <row r="72" spans="1:8" ht="15.75">
      <c r="A72" s="50" t="s">
        <v>171</v>
      </c>
      <c r="B72" s="50"/>
      <c r="C72" s="50"/>
      <c r="D72" s="101"/>
      <c r="E72" s="106" t="s">
        <v>172</v>
      </c>
      <c r="F72" s="163"/>
      <c r="G72" s="158"/>
      <c r="H72" s="164"/>
    </row>
    <row r="73" spans="1:8" ht="15.75">
      <c r="A73" s="50"/>
      <c r="B73" s="50"/>
      <c r="C73" s="50"/>
      <c r="D73" s="155"/>
      <c r="E73" s="155"/>
      <c r="F73" s="155"/>
      <c r="G73" s="156"/>
      <c r="H73" s="155"/>
    </row>
    <row r="74" spans="1:8" ht="15.75">
      <c r="A74" s="50" t="s">
        <v>571</v>
      </c>
      <c r="B74" s="50"/>
      <c r="C74" s="50"/>
      <c r="D74" s="42"/>
      <c r="E74" s="165" t="s">
        <v>572</v>
      </c>
      <c r="F74" s="160"/>
      <c r="G74" s="161"/>
      <c r="H74" s="162"/>
    </row>
  </sheetData>
  <sheetProtection/>
  <mergeCells count="81">
    <mergeCell ref="B62:B63"/>
    <mergeCell ref="C62:C63"/>
    <mergeCell ref="B31:B33"/>
    <mergeCell ref="F59:G59"/>
    <mergeCell ref="B60:B61"/>
    <mergeCell ref="C60:C61"/>
    <mergeCell ref="D60:D61"/>
    <mergeCell ref="F60:G61"/>
    <mergeCell ref="F41:G41"/>
    <mergeCell ref="A37:H37"/>
    <mergeCell ref="H60:H61"/>
    <mergeCell ref="A52:B52"/>
    <mergeCell ref="C52:H52"/>
    <mergeCell ref="A53:A54"/>
    <mergeCell ref="B53:B54"/>
    <mergeCell ref="F57:G57"/>
    <mergeCell ref="A58:B58"/>
    <mergeCell ref="C58:H58"/>
    <mergeCell ref="A42:A51"/>
    <mergeCell ref="B42:B51"/>
    <mergeCell ref="C42:C51"/>
    <mergeCell ref="D42:D44"/>
    <mergeCell ref="E42:E44"/>
    <mergeCell ref="D45:D47"/>
    <mergeCell ref="E45:E47"/>
    <mergeCell ref="D48:D49"/>
    <mergeCell ref="A38:B38"/>
    <mergeCell ref="C38:H38"/>
    <mergeCell ref="A39:A41"/>
    <mergeCell ref="B39:B41"/>
    <mergeCell ref="C39:C41"/>
    <mergeCell ref="D39:D40"/>
    <mergeCell ref="F39:G39"/>
    <mergeCell ref="H39:H41"/>
    <mergeCell ref="F40:G40"/>
    <mergeCell ref="A34:A36"/>
    <mergeCell ref="B34:B36"/>
    <mergeCell ref="C34:C36"/>
    <mergeCell ref="D34:D35"/>
    <mergeCell ref="F34:G34"/>
    <mergeCell ref="H34:H36"/>
    <mergeCell ref="F35:G35"/>
    <mergeCell ref="F36:G36"/>
    <mergeCell ref="A25:A30"/>
    <mergeCell ref="B25:B30"/>
    <mergeCell ref="C25:H25"/>
    <mergeCell ref="H26:H30"/>
    <mergeCell ref="A31:A33"/>
    <mergeCell ref="C31:H31"/>
    <mergeCell ref="A22:A24"/>
    <mergeCell ref="B22:B24"/>
    <mergeCell ref="C22:C24"/>
    <mergeCell ref="D22:D23"/>
    <mergeCell ref="F22:G22"/>
    <mergeCell ref="H22:H24"/>
    <mergeCell ref="F23:G23"/>
    <mergeCell ref="F24:G24"/>
    <mergeCell ref="A19:A21"/>
    <mergeCell ref="B19:B21"/>
    <mergeCell ref="C19:C21"/>
    <mergeCell ref="D19:D20"/>
    <mergeCell ref="F19:G19"/>
    <mergeCell ref="H19:H21"/>
    <mergeCell ref="F20:G20"/>
    <mergeCell ref="F21:G21"/>
    <mergeCell ref="A15:B15"/>
    <mergeCell ref="C15:H15"/>
    <mergeCell ref="A16:A18"/>
    <mergeCell ref="B16:B18"/>
    <mergeCell ref="C16:C18"/>
    <mergeCell ref="D16:D17"/>
    <mergeCell ref="F16:G16"/>
    <mergeCell ref="H16:H18"/>
    <mergeCell ref="F17:G17"/>
    <mergeCell ref="F18:G18"/>
    <mergeCell ref="A8:H8"/>
    <mergeCell ref="A9:H9"/>
    <mergeCell ref="A10:H10"/>
    <mergeCell ref="A11:H11"/>
    <mergeCell ref="A12:H12"/>
    <mergeCell ref="A14:H1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.00390625" style="180" customWidth="1"/>
    <col min="2" max="2" width="9.140625" style="180" customWidth="1"/>
    <col min="3" max="3" width="61.421875" style="180" customWidth="1"/>
    <col min="4" max="4" width="14.28125" style="180" customWidth="1"/>
    <col min="5" max="5" width="14.00390625" style="180" customWidth="1"/>
    <col min="6" max="7" width="13.00390625" style="180" customWidth="1"/>
    <col min="8" max="8" width="73.28125" style="180" customWidth="1"/>
    <col min="9" max="16384" width="9.140625" style="180" customWidth="1"/>
  </cols>
  <sheetData>
    <row r="1" spans="1:9" ht="15.75">
      <c r="A1" s="214"/>
      <c r="B1" s="214"/>
      <c r="C1" s="214"/>
      <c r="D1" s="215"/>
      <c r="E1" s="215"/>
      <c r="F1" s="215"/>
      <c r="H1" s="216"/>
      <c r="I1" s="217"/>
    </row>
    <row r="2" spans="1:9" ht="15.75">
      <c r="A2" s="214"/>
      <c r="B2" s="214"/>
      <c r="C2" s="214"/>
      <c r="D2" s="215"/>
      <c r="E2" s="215"/>
      <c r="F2" s="215"/>
      <c r="H2" s="218" t="s">
        <v>0</v>
      </c>
      <c r="I2" s="218"/>
    </row>
    <row r="3" spans="1:9" ht="15.75">
      <c r="A3" s="214"/>
      <c r="B3" s="214"/>
      <c r="C3" s="214"/>
      <c r="D3" s="215"/>
      <c r="E3" s="215"/>
      <c r="F3" s="215"/>
      <c r="H3" s="56" t="s">
        <v>1</v>
      </c>
      <c r="I3" s="56"/>
    </row>
    <row r="4" spans="1:9" ht="15.75">
      <c r="A4" s="214"/>
      <c r="B4" s="214"/>
      <c r="C4" s="214"/>
      <c r="D4" s="215"/>
      <c r="E4" s="215"/>
      <c r="F4" s="215"/>
      <c r="H4" s="219" t="s">
        <v>2</v>
      </c>
      <c r="I4" s="219"/>
    </row>
    <row r="5" spans="1:9" ht="15.75">
      <c r="A5" s="214"/>
      <c r="B5" s="214"/>
      <c r="C5" s="214"/>
      <c r="D5" s="215"/>
      <c r="E5" s="215"/>
      <c r="F5" s="215"/>
      <c r="H5" s="220"/>
      <c r="I5" s="220"/>
    </row>
    <row r="6" spans="1:9" ht="15.75">
      <c r="A6" s="214"/>
      <c r="B6" s="214"/>
      <c r="C6" s="214"/>
      <c r="D6" s="215"/>
      <c r="E6" s="215"/>
      <c r="F6" s="215"/>
      <c r="H6" s="187" t="s">
        <v>3</v>
      </c>
      <c r="I6" s="187"/>
    </row>
    <row r="7" spans="1:9" ht="15.75">
      <c r="A7" s="214"/>
      <c r="B7" s="214"/>
      <c r="C7" s="214"/>
      <c r="D7" s="215"/>
      <c r="E7" s="215"/>
      <c r="F7" s="215"/>
      <c r="H7" s="221"/>
      <c r="I7" s="188"/>
    </row>
    <row r="8" spans="1:8" ht="15.75">
      <c r="A8" s="833" t="s">
        <v>4</v>
      </c>
      <c r="B8" s="833"/>
      <c r="C8" s="833"/>
      <c r="D8" s="833"/>
      <c r="E8" s="833"/>
      <c r="F8" s="833"/>
      <c r="G8" s="833"/>
      <c r="H8" s="833"/>
    </row>
    <row r="9" spans="1:8" ht="15.75">
      <c r="A9" s="833" t="s">
        <v>244</v>
      </c>
      <c r="B9" s="833"/>
      <c r="C9" s="833"/>
      <c r="D9" s="833"/>
      <c r="E9" s="833"/>
      <c r="F9" s="833"/>
      <c r="G9" s="833"/>
      <c r="H9" s="833"/>
    </row>
    <row r="10" spans="1:8" ht="15.75">
      <c r="A10" s="833" t="s">
        <v>406</v>
      </c>
      <c r="B10" s="833"/>
      <c r="C10" s="833"/>
      <c r="D10" s="833"/>
      <c r="E10" s="833"/>
      <c r="F10" s="833"/>
      <c r="G10" s="833"/>
      <c r="H10" s="833"/>
    </row>
    <row r="11" spans="1:8" ht="15.75" customHeight="1">
      <c r="A11" s="523" t="s">
        <v>734</v>
      </c>
      <c r="B11" s="523"/>
      <c r="C11" s="523"/>
      <c r="D11" s="523"/>
      <c r="E11" s="523"/>
      <c r="F11" s="523"/>
      <c r="G11" s="523"/>
      <c r="H11" s="523"/>
    </row>
    <row r="12" spans="1:8" ht="16.5" thickBot="1">
      <c r="A12" s="1011"/>
      <c r="B12" s="1011"/>
      <c r="C12" s="1011"/>
      <c r="D12" s="1011"/>
      <c r="E12" s="1011"/>
      <c r="F12" s="1011"/>
      <c r="G12" s="1011"/>
      <c r="H12" s="1011"/>
    </row>
    <row r="13" spans="1:8" ht="63">
      <c r="A13" s="356" t="s">
        <v>8</v>
      </c>
      <c r="B13" s="357" t="s">
        <v>9</v>
      </c>
      <c r="C13" s="357" t="s">
        <v>10</v>
      </c>
      <c r="D13" s="357" t="s">
        <v>11</v>
      </c>
      <c r="E13" s="357" t="s">
        <v>12</v>
      </c>
      <c r="F13" s="357" t="s">
        <v>13</v>
      </c>
      <c r="G13" s="358" t="s">
        <v>14</v>
      </c>
      <c r="H13" s="359" t="s">
        <v>15</v>
      </c>
    </row>
    <row r="14" spans="1:8" ht="15.75">
      <c r="A14" s="1012" t="s">
        <v>16</v>
      </c>
      <c r="B14" s="580"/>
      <c r="C14" s="580"/>
      <c r="D14" s="580"/>
      <c r="E14" s="580"/>
      <c r="F14" s="580"/>
      <c r="G14" s="580"/>
      <c r="H14" s="1005"/>
    </row>
    <row r="15" spans="1:8" ht="15.75">
      <c r="A15" s="995" t="s">
        <v>17</v>
      </c>
      <c r="B15" s="573"/>
      <c r="C15" s="580" t="s">
        <v>18</v>
      </c>
      <c r="D15" s="580"/>
      <c r="E15" s="580"/>
      <c r="F15" s="580"/>
      <c r="G15" s="580"/>
      <c r="H15" s="1005"/>
    </row>
    <row r="16" spans="1:8" ht="15.75">
      <c r="A16" s="998" t="s">
        <v>177</v>
      </c>
      <c r="B16" s="573" t="s">
        <v>19</v>
      </c>
      <c r="C16" s="579" t="s">
        <v>20</v>
      </c>
      <c r="D16" s="884" t="s">
        <v>21</v>
      </c>
      <c r="E16" s="335" t="s">
        <v>22</v>
      </c>
      <c r="F16" s="884" t="s">
        <v>76</v>
      </c>
      <c r="G16" s="884"/>
      <c r="H16" s="1003" t="s">
        <v>178</v>
      </c>
    </row>
    <row r="17" spans="1:8" ht="15.75">
      <c r="A17" s="998"/>
      <c r="B17" s="573"/>
      <c r="C17" s="579"/>
      <c r="D17" s="884"/>
      <c r="E17" s="335" t="s">
        <v>38</v>
      </c>
      <c r="F17" s="884" t="s">
        <v>76</v>
      </c>
      <c r="G17" s="884"/>
      <c r="H17" s="1003"/>
    </row>
    <row r="18" spans="1:8" ht="15.75">
      <c r="A18" s="998"/>
      <c r="B18" s="573"/>
      <c r="C18" s="579"/>
      <c r="D18" s="329" t="s">
        <v>25</v>
      </c>
      <c r="E18" s="360"/>
      <c r="F18" s="884" t="s">
        <v>76</v>
      </c>
      <c r="G18" s="884"/>
      <c r="H18" s="1003"/>
    </row>
    <row r="19" spans="1:8" ht="15.75">
      <c r="A19" s="998" t="s">
        <v>179</v>
      </c>
      <c r="B19" s="573" t="s">
        <v>28</v>
      </c>
      <c r="C19" s="579" t="s">
        <v>180</v>
      </c>
      <c r="D19" s="884" t="s">
        <v>21</v>
      </c>
      <c r="E19" s="335" t="s">
        <v>22</v>
      </c>
      <c r="F19" s="884" t="s">
        <v>76</v>
      </c>
      <c r="G19" s="884"/>
      <c r="H19" s="1003" t="s">
        <v>181</v>
      </c>
    </row>
    <row r="20" spans="1:8" ht="15.75">
      <c r="A20" s="998"/>
      <c r="B20" s="573"/>
      <c r="C20" s="579"/>
      <c r="D20" s="884"/>
      <c r="E20" s="335" t="s">
        <v>38</v>
      </c>
      <c r="F20" s="884" t="s">
        <v>76</v>
      </c>
      <c r="G20" s="884"/>
      <c r="H20" s="1003"/>
    </row>
    <row r="21" spans="1:8" ht="15.75">
      <c r="A21" s="998"/>
      <c r="B21" s="573"/>
      <c r="C21" s="579"/>
      <c r="D21" s="329" t="s">
        <v>25</v>
      </c>
      <c r="E21" s="360"/>
      <c r="F21" s="884" t="s">
        <v>76</v>
      </c>
      <c r="G21" s="884"/>
      <c r="H21" s="1003"/>
    </row>
    <row r="22" spans="1:8" ht="15.75">
      <c r="A22" s="998" t="s">
        <v>182</v>
      </c>
      <c r="B22" s="573" t="s">
        <v>31</v>
      </c>
      <c r="C22" s="579" t="s">
        <v>32</v>
      </c>
      <c r="D22" s="884" t="s">
        <v>21</v>
      </c>
      <c r="E22" s="335" t="s">
        <v>22</v>
      </c>
      <c r="F22" s="884" t="s">
        <v>76</v>
      </c>
      <c r="G22" s="884"/>
      <c r="H22" s="1003" t="s">
        <v>181</v>
      </c>
    </row>
    <row r="23" spans="1:8" ht="15.75">
      <c r="A23" s="998"/>
      <c r="B23" s="573"/>
      <c r="C23" s="579"/>
      <c r="D23" s="884"/>
      <c r="E23" s="335" t="s">
        <v>38</v>
      </c>
      <c r="F23" s="884" t="s">
        <v>76</v>
      </c>
      <c r="G23" s="884"/>
      <c r="H23" s="1003"/>
    </row>
    <row r="24" spans="1:8" ht="15.75">
      <c r="A24" s="998"/>
      <c r="B24" s="573"/>
      <c r="C24" s="579"/>
      <c r="D24" s="329" t="s">
        <v>25</v>
      </c>
      <c r="E24" s="360"/>
      <c r="F24" s="884" t="s">
        <v>76</v>
      </c>
      <c r="G24" s="884"/>
      <c r="H24" s="1003"/>
    </row>
    <row r="25" spans="1:8" ht="15.75">
      <c r="A25" s="1006" t="s">
        <v>183</v>
      </c>
      <c r="B25" s="328" t="s">
        <v>197</v>
      </c>
      <c r="C25" s="573" t="s">
        <v>412</v>
      </c>
      <c r="D25" s="573"/>
      <c r="E25" s="573"/>
      <c r="F25" s="573"/>
      <c r="G25" s="573"/>
      <c r="H25" s="1004"/>
    </row>
    <row r="26" spans="1:8" ht="15.75">
      <c r="A26" s="1006"/>
      <c r="B26" s="1010"/>
      <c r="C26" s="596" t="s">
        <v>199</v>
      </c>
      <c r="D26" s="596" t="s">
        <v>21</v>
      </c>
      <c r="E26" s="331" t="s">
        <v>22</v>
      </c>
      <c r="F26" s="269">
        <v>6213</v>
      </c>
      <c r="G26" s="269">
        <f aca="true" t="shared" si="0" ref="G26:G33">F26*1.2</f>
        <v>7455.599999999999</v>
      </c>
      <c r="H26" s="361" t="s">
        <v>264</v>
      </c>
    </row>
    <row r="27" spans="1:8" ht="15.75">
      <c r="A27" s="1006"/>
      <c r="B27" s="1010"/>
      <c r="C27" s="596"/>
      <c r="D27" s="596"/>
      <c r="E27" s="331" t="s">
        <v>22</v>
      </c>
      <c r="F27" s="269">
        <v>7001</v>
      </c>
      <c r="G27" s="269">
        <f t="shared" si="0"/>
        <v>8401.199999999999</v>
      </c>
      <c r="H27" s="361" t="s">
        <v>265</v>
      </c>
    </row>
    <row r="28" spans="1:8" ht="15.75">
      <c r="A28" s="1006"/>
      <c r="B28" s="1010"/>
      <c r="C28" s="596"/>
      <c r="D28" s="596"/>
      <c r="E28" s="331" t="s">
        <v>38</v>
      </c>
      <c r="F28" s="269">
        <v>7127</v>
      </c>
      <c r="G28" s="269">
        <f t="shared" si="0"/>
        <v>8552.4</v>
      </c>
      <c r="H28" s="362"/>
    </row>
    <row r="29" spans="1:8" ht="15.75">
      <c r="A29" s="1006"/>
      <c r="B29" s="1010"/>
      <c r="C29" s="596" t="s">
        <v>202</v>
      </c>
      <c r="D29" s="596" t="s">
        <v>21</v>
      </c>
      <c r="E29" s="331" t="s">
        <v>22</v>
      </c>
      <c r="F29" s="269">
        <v>4325</v>
      </c>
      <c r="G29" s="269">
        <f t="shared" si="0"/>
        <v>5190</v>
      </c>
      <c r="H29" s="361" t="s">
        <v>264</v>
      </c>
    </row>
    <row r="30" spans="1:8" ht="15.75">
      <c r="A30" s="1006"/>
      <c r="B30" s="1010"/>
      <c r="C30" s="596"/>
      <c r="D30" s="596"/>
      <c r="E30" s="331" t="s">
        <v>22</v>
      </c>
      <c r="F30" s="269">
        <v>5113</v>
      </c>
      <c r="G30" s="269">
        <f t="shared" si="0"/>
        <v>6135.599999999999</v>
      </c>
      <c r="H30" s="361" t="s">
        <v>265</v>
      </c>
    </row>
    <row r="31" spans="1:8" ht="15.75">
      <c r="A31" s="1006"/>
      <c r="B31" s="1010"/>
      <c r="C31" s="596"/>
      <c r="D31" s="596"/>
      <c r="E31" s="331" t="s">
        <v>38</v>
      </c>
      <c r="F31" s="269">
        <v>5113</v>
      </c>
      <c r="G31" s="269">
        <f t="shared" si="0"/>
        <v>6135.599999999999</v>
      </c>
      <c r="H31" s="361"/>
    </row>
    <row r="32" spans="1:8" ht="15.75">
      <c r="A32" s="1006"/>
      <c r="B32" s="1010"/>
      <c r="C32" s="596" t="s">
        <v>202</v>
      </c>
      <c r="D32" s="596" t="s">
        <v>21</v>
      </c>
      <c r="E32" s="331" t="s">
        <v>22</v>
      </c>
      <c r="F32" s="269">
        <v>3895</v>
      </c>
      <c r="G32" s="269">
        <f t="shared" si="0"/>
        <v>4674</v>
      </c>
      <c r="H32" s="361" t="s">
        <v>95</v>
      </c>
    </row>
    <row r="33" spans="1:8" ht="15.75">
      <c r="A33" s="1006"/>
      <c r="B33" s="1010"/>
      <c r="C33" s="596"/>
      <c r="D33" s="596"/>
      <c r="E33" s="331" t="s">
        <v>38</v>
      </c>
      <c r="F33" s="269">
        <v>4021</v>
      </c>
      <c r="G33" s="269">
        <f t="shared" si="0"/>
        <v>4825.2</v>
      </c>
      <c r="H33" s="361" t="s">
        <v>95</v>
      </c>
    </row>
    <row r="34" spans="1:8" ht="15.75">
      <c r="A34" s="1009" t="s">
        <v>263</v>
      </c>
      <c r="B34" s="873" t="s">
        <v>57</v>
      </c>
      <c r="C34" s="596" t="s">
        <v>58</v>
      </c>
      <c r="D34" s="596" t="s">
        <v>21</v>
      </c>
      <c r="E34" s="331" t="s">
        <v>22</v>
      </c>
      <c r="F34" s="596" t="s">
        <v>76</v>
      </c>
      <c r="G34" s="596"/>
      <c r="H34" s="1003"/>
    </row>
    <row r="35" spans="1:8" ht="15.75">
      <c r="A35" s="1009"/>
      <c r="B35" s="873"/>
      <c r="C35" s="596"/>
      <c r="D35" s="596"/>
      <c r="E35" s="331" t="s">
        <v>38</v>
      </c>
      <c r="F35" s="596" t="s">
        <v>76</v>
      </c>
      <c r="G35" s="596"/>
      <c r="H35" s="1003"/>
    </row>
    <row r="36" spans="1:8" ht="15.75">
      <c r="A36" s="1009"/>
      <c r="B36" s="873"/>
      <c r="C36" s="596"/>
      <c r="D36" s="331" t="s">
        <v>25</v>
      </c>
      <c r="E36" s="331" t="s">
        <v>25</v>
      </c>
      <c r="F36" s="596" t="s">
        <v>76</v>
      </c>
      <c r="G36" s="596"/>
      <c r="H36" s="1003"/>
    </row>
    <row r="37" spans="1:8" ht="15.75">
      <c r="A37" s="995" t="s">
        <v>68</v>
      </c>
      <c r="B37" s="573"/>
      <c r="C37" s="573"/>
      <c r="D37" s="573"/>
      <c r="E37" s="573"/>
      <c r="F37" s="573"/>
      <c r="G37" s="573"/>
      <c r="H37" s="1004"/>
    </row>
    <row r="38" spans="1:8" ht="15.75">
      <c r="A38" s="995" t="s">
        <v>69</v>
      </c>
      <c r="B38" s="573"/>
      <c r="C38" s="573" t="s">
        <v>70</v>
      </c>
      <c r="D38" s="573"/>
      <c r="E38" s="573"/>
      <c r="F38" s="573"/>
      <c r="G38" s="573"/>
      <c r="H38" s="1004"/>
    </row>
    <row r="39" spans="1:8" ht="15.75">
      <c r="A39" s="998" t="s">
        <v>267</v>
      </c>
      <c r="B39" s="573" t="s">
        <v>71</v>
      </c>
      <c r="C39" s="884" t="s">
        <v>72</v>
      </c>
      <c r="D39" s="884" t="s">
        <v>21</v>
      </c>
      <c r="E39" s="322" t="s">
        <v>22</v>
      </c>
      <c r="F39" s="884" t="s">
        <v>76</v>
      </c>
      <c r="G39" s="884"/>
      <c r="H39" s="1003"/>
    </row>
    <row r="40" spans="1:8" ht="15.75">
      <c r="A40" s="998"/>
      <c r="B40" s="573"/>
      <c r="C40" s="884"/>
      <c r="D40" s="884"/>
      <c r="E40" s="322" t="s">
        <v>38</v>
      </c>
      <c r="F40" s="884" t="s">
        <v>76</v>
      </c>
      <c r="G40" s="884"/>
      <c r="H40" s="1003"/>
    </row>
    <row r="41" spans="1:8" ht="15.75">
      <c r="A41" s="998"/>
      <c r="B41" s="573"/>
      <c r="C41" s="884"/>
      <c r="D41" s="335" t="s">
        <v>25</v>
      </c>
      <c r="E41" s="360"/>
      <c r="F41" s="884" t="s">
        <v>76</v>
      </c>
      <c r="G41" s="884"/>
      <c r="H41" s="1003"/>
    </row>
    <row r="42" spans="1:8" ht="15.75">
      <c r="A42" s="1006" t="s">
        <v>203</v>
      </c>
      <c r="B42" s="1007" t="s">
        <v>73</v>
      </c>
      <c r="C42" s="1008" t="s">
        <v>74</v>
      </c>
      <c r="D42" s="335" t="s">
        <v>75</v>
      </c>
      <c r="E42" s="322" t="s">
        <v>21</v>
      </c>
      <c r="F42" s="596" t="s">
        <v>76</v>
      </c>
      <c r="G42" s="585"/>
      <c r="H42" s="1003" t="s">
        <v>413</v>
      </c>
    </row>
    <row r="43" spans="1:8" ht="15.75">
      <c r="A43" s="1006"/>
      <c r="B43" s="1007"/>
      <c r="C43" s="1008"/>
      <c r="D43" s="335" t="s">
        <v>78</v>
      </c>
      <c r="E43" s="322" t="s">
        <v>25</v>
      </c>
      <c r="F43" s="596" t="s">
        <v>76</v>
      </c>
      <c r="G43" s="585"/>
      <c r="H43" s="1003"/>
    </row>
    <row r="44" spans="1:8" ht="78.75">
      <c r="A44" s="1006"/>
      <c r="B44" s="1007"/>
      <c r="C44" s="1008"/>
      <c r="D44" s="884" t="s">
        <v>75</v>
      </c>
      <c r="E44" s="999" t="s">
        <v>212</v>
      </c>
      <c r="F44" s="269">
        <v>300</v>
      </c>
      <c r="G44" s="269">
        <f aca="true" t="shared" si="1" ref="G44:G51">F44*1.2</f>
        <v>360</v>
      </c>
      <c r="H44" s="363" t="s">
        <v>80</v>
      </c>
    </row>
    <row r="45" spans="1:8" ht="78.75">
      <c r="A45" s="1006"/>
      <c r="B45" s="1007"/>
      <c r="C45" s="1008"/>
      <c r="D45" s="884"/>
      <c r="E45" s="589"/>
      <c r="F45" s="270">
        <v>600</v>
      </c>
      <c r="G45" s="269">
        <f t="shared" si="1"/>
        <v>720</v>
      </c>
      <c r="H45" s="363" t="s">
        <v>81</v>
      </c>
    </row>
    <row r="46" spans="1:8" ht="78.75">
      <c r="A46" s="1006"/>
      <c r="B46" s="1007"/>
      <c r="C46" s="1008"/>
      <c r="D46" s="585"/>
      <c r="E46" s="589"/>
      <c r="F46" s="270">
        <v>1000</v>
      </c>
      <c r="G46" s="269">
        <f t="shared" si="1"/>
        <v>1200</v>
      </c>
      <c r="H46" s="363" t="s">
        <v>82</v>
      </c>
    </row>
    <row r="47" spans="1:8" ht="78.75">
      <c r="A47" s="1006"/>
      <c r="B47" s="1007"/>
      <c r="C47" s="1008"/>
      <c r="D47" s="884" t="s">
        <v>75</v>
      </c>
      <c r="E47" s="585" t="s">
        <v>414</v>
      </c>
      <c r="F47" s="270">
        <v>500</v>
      </c>
      <c r="G47" s="269">
        <f t="shared" si="1"/>
        <v>600</v>
      </c>
      <c r="H47" s="363" t="s">
        <v>80</v>
      </c>
    </row>
    <row r="48" spans="1:8" ht="78.75">
      <c r="A48" s="1006"/>
      <c r="B48" s="1007"/>
      <c r="C48" s="1008"/>
      <c r="D48" s="585"/>
      <c r="E48" s="589"/>
      <c r="F48" s="270">
        <v>750</v>
      </c>
      <c r="G48" s="269">
        <f t="shared" si="1"/>
        <v>900</v>
      </c>
      <c r="H48" s="363" t="s">
        <v>81</v>
      </c>
    </row>
    <row r="49" spans="1:8" ht="78.75">
      <c r="A49" s="1006"/>
      <c r="B49" s="1007"/>
      <c r="C49" s="1008"/>
      <c r="D49" s="585"/>
      <c r="E49" s="589"/>
      <c r="F49" s="270">
        <v>1000</v>
      </c>
      <c r="G49" s="269">
        <f t="shared" si="1"/>
        <v>1200</v>
      </c>
      <c r="H49" s="363" t="s">
        <v>82</v>
      </c>
    </row>
    <row r="50" spans="1:8" ht="78.75">
      <c r="A50" s="1006"/>
      <c r="B50" s="1007"/>
      <c r="C50" s="1008"/>
      <c r="D50" s="884" t="s">
        <v>207</v>
      </c>
      <c r="E50" s="322" t="s">
        <v>25</v>
      </c>
      <c r="F50" s="285">
        <v>2112</v>
      </c>
      <c r="G50" s="269">
        <f t="shared" si="1"/>
        <v>2534.4</v>
      </c>
      <c r="H50" s="361" t="s">
        <v>208</v>
      </c>
    </row>
    <row r="51" spans="1:8" ht="78.75">
      <c r="A51" s="1006"/>
      <c r="B51" s="1007"/>
      <c r="C51" s="1008"/>
      <c r="D51" s="884"/>
      <c r="E51" s="322" t="s">
        <v>25</v>
      </c>
      <c r="F51" s="285">
        <v>3168</v>
      </c>
      <c r="G51" s="269">
        <f t="shared" si="1"/>
        <v>3801.6</v>
      </c>
      <c r="H51" s="361" t="s">
        <v>85</v>
      </c>
    </row>
    <row r="52" spans="1:8" ht="15.75">
      <c r="A52" s="998" t="s">
        <v>205</v>
      </c>
      <c r="B52" s="573" t="s">
        <v>415</v>
      </c>
      <c r="C52" s="884" t="s">
        <v>277</v>
      </c>
      <c r="D52" s="884" t="s">
        <v>21</v>
      </c>
      <c r="E52" s="322" t="s">
        <v>22</v>
      </c>
      <c r="F52" s="884" t="s">
        <v>76</v>
      </c>
      <c r="G52" s="884"/>
      <c r="H52" s="1003"/>
    </row>
    <row r="53" spans="1:8" ht="15.75">
      <c r="A53" s="998"/>
      <c r="B53" s="573"/>
      <c r="C53" s="884"/>
      <c r="D53" s="884"/>
      <c r="E53" s="322" t="s">
        <v>38</v>
      </c>
      <c r="F53" s="884" t="s">
        <v>76</v>
      </c>
      <c r="G53" s="884"/>
      <c r="H53" s="1003"/>
    </row>
    <row r="54" spans="1:8" ht="15.75">
      <c r="A54" s="998"/>
      <c r="B54" s="573"/>
      <c r="C54" s="884"/>
      <c r="D54" s="335" t="s">
        <v>25</v>
      </c>
      <c r="E54" s="322"/>
      <c r="F54" s="884" t="s">
        <v>76</v>
      </c>
      <c r="G54" s="884"/>
      <c r="H54" s="1003"/>
    </row>
    <row r="55" spans="1:8" ht="15.75">
      <c r="A55" s="995" t="s">
        <v>86</v>
      </c>
      <c r="B55" s="573"/>
      <c r="C55" s="573" t="s">
        <v>87</v>
      </c>
      <c r="D55" s="573"/>
      <c r="E55" s="573"/>
      <c r="F55" s="573"/>
      <c r="G55" s="573"/>
      <c r="H55" s="1004"/>
    </row>
    <row r="56" spans="1:8" ht="15.75">
      <c r="A56" s="1001">
        <v>9</v>
      </c>
      <c r="B56" s="330" t="s">
        <v>88</v>
      </c>
      <c r="C56" s="580" t="s">
        <v>90</v>
      </c>
      <c r="D56" s="580"/>
      <c r="E56" s="580"/>
      <c r="F56" s="580"/>
      <c r="G56" s="580"/>
      <c r="H56" s="1005"/>
    </row>
    <row r="57" spans="1:8" ht="63">
      <c r="A57" s="1001"/>
      <c r="B57" s="579"/>
      <c r="C57" s="579" t="s">
        <v>416</v>
      </c>
      <c r="D57" s="578" t="s">
        <v>91</v>
      </c>
      <c r="E57" s="999" t="s">
        <v>22</v>
      </c>
      <c r="F57" s="285">
        <v>1159</v>
      </c>
      <c r="G57" s="269">
        <f>F57*1.2</f>
        <v>1390.8</v>
      </c>
      <c r="H57" s="364" t="s">
        <v>684</v>
      </c>
    </row>
    <row r="58" spans="1:8" ht="63">
      <c r="A58" s="1001"/>
      <c r="B58" s="579"/>
      <c r="C58" s="579"/>
      <c r="D58" s="578"/>
      <c r="E58" s="999"/>
      <c r="F58" s="285">
        <v>1553</v>
      </c>
      <c r="G58" s="269">
        <f>F58*1.2</f>
        <v>1863.6</v>
      </c>
      <c r="H58" s="364" t="s">
        <v>417</v>
      </c>
    </row>
    <row r="59" spans="1:8" ht="31.5">
      <c r="A59" s="1001"/>
      <c r="B59" s="579"/>
      <c r="C59" s="329" t="s">
        <v>282</v>
      </c>
      <c r="D59" s="589"/>
      <c r="E59" s="589"/>
      <c r="F59" s="285">
        <v>944</v>
      </c>
      <c r="G59" s="269">
        <f>F59*1.2</f>
        <v>1132.8</v>
      </c>
      <c r="H59" s="364"/>
    </row>
    <row r="60" spans="1:8" ht="31.5">
      <c r="A60" s="1001"/>
      <c r="B60" s="579"/>
      <c r="C60" s="365" t="s">
        <v>418</v>
      </c>
      <c r="D60" s="578" t="s">
        <v>91</v>
      </c>
      <c r="E60" s="999" t="s">
        <v>38</v>
      </c>
      <c r="F60" s="285">
        <v>1553</v>
      </c>
      <c r="G60" s="269">
        <f>F60*1.2</f>
        <v>1863.6</v>
      </c>
      <c r="H60" s="361"/>
    </row>
    <row r="61" spans="1:8" ht="31.5">
      <c r="A61" s="1001"/>
      <c r="B61" s="579"/>
      <c r="C61" s="329" t="s">
        <v>282</v>
      </c>
      <c r="D61" s="578"/>
      <c r="E61" s="999"/>
      <c r="F61" s="285">
        <v>1007</v>
      </c>
      <c r="G61" s="269">
        <f>F61*1.2</f>
        <v>1208.3999999999999</v>
      </c>
      <c r="H61" s="361"/>
    </row>
    <row r="62" spans="1:8" ht="15.75">
      <c r="A62" s="1001">
        <v>10</v>
      </c>
      <c r="B62" s="328" t="s">
        <v>97</v>
      </c>
      <c r="C62" s="580" t="s">
        <v>96</v>
      </c>
      <c r="D62" s="580"/>
      <c r="E62" s="580"/>
      <c r="F62" s="580"/>
      <c r="G62" s="580"/>
      <c r="H62" s="1003"/>
    </row>
    <row r="63" spans="1:8" ht="15.75">
      <c r="A63" s="1002"/>
      <c r="B63" s="573"/>
      <c r="C63" s="878" t="s">
        <v>284</v>
      </c>
      <c r="D63" s="877" t="s">
        <v>79</v>
      </c>
      <c r="E63" s="336" t="s">
        <v>93</v>
      </c>
      <c r="F63" s="336">
        <v>231</v>
      </c>
      <c r="G63" s="269">
        <f>F63*1.2</f>
        <v>277.2</v>
      </c>
      <c r="H63" s="1003" t="s">
        <v>419</v>
      </c>
    </row>
    <row r="64" spans="1:8" ht="15.75">
      <c r="A64" s="1002"/>
      <c r="B64" s="573"/>
      <c r="C64" s="878"/>
      <c r="D64" s="589"/>
      <c r="E64" s="336" t="s">
        <v>99</v>
      </c>
      <c r="F64" s="285">
        <v>460</v>
      </c>
      <c r="G64" s="269">
        <f>F64*1.2</f>
        <v>552</v>
      </c>
      <c r="H64" s="1003"/>
    </row>
    <row r="65" spans="1:8" ht="47.25">
      <c r="A65" s="366">
        <v>11</v>
      </c>
      <c r="B65" s="367" t="s">
        <v>420</v>
      </c>
      <c r="C65" s="368" t="s">
        <v>371</v>
      </c>
      <c r="D65" s="327" t="s">
        <v>421</v>
      </c>
      <c r="E65" s="327" t="s">
        <v>221</v>
      </c>
      <c r="F65" s="285">
        <v>336</v>
      </c>
      <c r="G65" s="269">
        <f>F65*1.2</f>
        <v>403.2</v>
      </c>
      <c r="H65" s="363" t="s">
        <v>422</v>
      </c>
    </row>
    <row r="66" spans="1:8" ht="31.5">
      <c r="A66" s="369">
        <v>12</v>
      </c>
      <c r="B66" s="332" t="s">
        <v>103</v>
      </c>
      <c r="C66" s="334" t="s">
        <v>105</v>
      </c>
      <c r="D66" s="334" t="s">
        <v>220</v>
      </c>
      <c r="E66" s="270" t="s">
        <v>221</v>
      </c>
      <c r="F66" s="336">
        <v>535</v>
      </c>
      <c r="G66" s="269">
        <f>F66*1.2</f>
        <v>642</v>
      </c>
      <c r="H66" s="370" t="s">
        <v>423</v>
      </c>
    </row>
    <row r="67" spans="1:8" ht="31.5">
      <c r="A67" s="992">
        <v>13</v>
      </c>
      <c r="B67" s="573" t="s">
        <v>125</v>
      </c>
      <c r="C67" s="574" t="s">
        <v>424</v>
      </c>
      <c r="D67" s="575" t="s">
        <v>119</v>
      </c>
      <c r="E67" s="999"/>
      <c r="F67" s="336">
        <v>318</v>
      </c>
      <c r="G67" s="269">
        <f>F67*1.2</f>
        <v>381.59999999999997</v>
      </c>
      <c r="H67" s="361" t="s">
        <v>425</v>
      </c>
    </row>
    <row r="68" spans="1:8" ht="15.75">
      <c r="A68" s="992"/>
      <c r="B68" s="573"/>
      <c r="C68" s="574"/>
      <c r="D68" s="575"/>
      <c r="E68" s="999"/>
      <c r="F68" s="999" t="s">
        <v>76</v>
      </c>
      <c r="G68" s="999"/>
      <c r="H68" s="371" t="s">
        <v>426</v>
      </c>
    </row>
    <row r="69" spans="1:8" ht="78.75">
      <c r="A69" s="992"/>
      <c r="B69" s="573"/>
      <c r="C69" s="574"/>
      <c r="D69" s="333" t="s">
        <v>119</v>
      </c>
      <c r="E69" s="333"/>
      <c r="F69" s="1000" t="s">
        <v>131</v>
      </c>
      <c r="G69" s="1000"/>
      <c r="H69" s="372" t="s">
        <v>132</v>
      </c>
    </row>
    <row r="70" spans="1:8" ht="15.75">
      <c r="A70" s="995" t="s">
        <v>136</v>
      </c>
      <c r="B70" s="573"/>
      <c r="C70" s="996" t="s">
        <v>137</v>
      </c>
      <c r="D70" s="996"/>
      <c r="E70" s="996"/>
      <c r="F70" s="996"/>
      <c r="G70" s="996"/>
      <c r="H70" s="997"/>
    </row>
    <row r="71" spans="1:8" ht="15.75">
      <c r="A71" s="998" t="s">
        <v>546</v>
      </c>
      <c r="B71" s="573" t="s">
        <v>308</v>
      </c>
      <c r="C71" s="574" t="s">
        <v>309</v>
      </c>
      <c r="D71" s="574" t="s">
        <v>21</v>
      </c>
      <c r="E71" s="322" t="s">
        <v>93</v>
      </c>
      <c r="F71" s="993" t="s">
        <v>76</v>
      </c>
      <c r="G71" s="993"/>
      <c r="H71" s="361"/>
    </row>
    <row r="72" spans="1:8" ht="15.75">
      <c r="A72" s="998"/>
      <c r="B72" s="573"/>
      <c r="C72" s="574"/>
      <c r="D72" s="574"/>
      <c r="E72" s="322" t="s">
        <v>99</v>
      </c>
      <c r="F72" s="585"/>
      <c r="G72" s="585"/>
      <c r="H72" s="361"/>
    </row>
    <row r="73" spans="1:8" ht="31.5">
      <c r="A73" s="373" t="s">
        <v>427</v>
      </c>
      <c r="B73" s="328" t="s">
        <v>223</v>
      </c>
      <c r="C73" s="326" t="s">
        <v>313</v>
      </c>
      <c r="D73" s="326" t="s">
        <v>21</v>
      </c>
      <c r="E73" s="365" t="s">
        <v>221</v>
      </c>
      <c r="F73" s="585" t="s">
        <v>76</v>
      </c>
      <c r="G73" s="585"/>
      <c r="H73" s="361" t="s">
        <v>428</v>
      </c>
    </row>
    <row r="74" spans="1:8" ht="15.75">
      <c r="A74" s="992">
        <v>16</v>
      </c>
      <c r="B74" s="573" t="s">
        <v>143</v>
      </c>
      <c r="C74" s="574" t="s">
        <v>144</v>
      </c>
      <c r="D74" s="575" t="s">
        <v>21</v>
      </c>
      <c r="E74" s="993" t="s">
        <v>221</v>
      </c>
      <c r="F74" s="993" t="s">
        <v>76</v>
      </c>
      <c r="G74" s="993"/>
      <c r="H74" s="361"/>
    </row>
    <row r="75" spans="1:8" ht="15.75">
      <c r="A75" s="992"/>
      <c r="B75" s="573"/>
      <c r="C75" s="574"/>
      <c r="D75" s="575"/>
      <c r="E75" s="994"/>
      <c r="F75" s="993"/>
      <c r="G75" s="993"/>
      <c r="H75" s="361"/>
    </row>
    <row r="76" spans="1:8" ht="31.5">
      <c r="A76" s="374">
        <v>17</v>
      </c>
      <c r="B76" s="328" t="s">
        <v>145</v>
      </c>
      <c r="C76" s="326" t="s">
        <v>146</v>
      </c>
      <c r="D76" s="327" t="s">
        <v>25</v>
      </c>
      <c r="E76" s="321"/>
      <c r="F76" s="993" t="s">
        <v>76</v>
      </c>
      <c r="G76" s="993"/>
      <c r="H76" s="361"/>
    </row>
    <row r="77" spans="1:8" ht="31.5">
      <c r="A77" s="374">
        <v>18</v>
      </c>
      <c r="B77" s="328" t="s">
        <v>399</v>
      </c>
      <c r="C77" s="326" t="s">
        <v>400</v>
      </c>
      <c r="D77" s="327" t="s">
        <v>119</v>
      </c>
      <c r="E77" s="321"/>
      <c r="F77" s="269">
        <v>5326</v>
      </c>
      <c r="G77" s="269">
        <f>F77*1.2</f>
        <v>6391.2</v>
      </c>
      <c r="H77" s="361" t="s">
        <v>429</v>
      </c>
    </row>
    <row r="78" spans="1:8" ht="31.5">
      <c r="A78" s="374">
        <v>19</v>
      </c>
      <c r="B78" s="328" t="s">
        <v>148</v>
      </c>
      <c r="C78" s="326" t="s">
        <v>227</v>
      </c>
      <c r="D78" s="327" t="s">
        <v>106</v>
      </c>
      <c r="E78" s="321" t="s">
        <v>735</v>
      </c>
      <c r="F78" s="323">
        <v>212</v>
      </c>
      <c r="G78" s="269">
        <f>F78*1.2</f>
        <v>254.39999999999998</v>
      </c>
      <c r="H78" s="361" t="s">
        <v>152</v>
      </c>
    </row>
    <row r="79" spans="1:8" ht="31.5">
      <c r="A79" s="374">
        <v>20</v>
      </c>
      <c r="B79" s="332" t="s">
        <v>236</v>
      </c>
      <c r="C79" s="333" t="s">
        <v>319</v>
      </c>
      <c r="D79" s="334" t="s">
        <v>119</v>
      </c>
      <c r="E79" s="270" t="s">
        <v>221</v>
      </c>
      <c r="F79" s="323">
        <v>2181.91</v>
      </c>
      <c r="G79" s="269">
        <f>F79*1.2</f>
        <v>2618.292</v>
      </c>
      <c r="H79" s="361"/>
    </row>
    <row r="80" spans="1:8" ht="15.75">
      <c r="A80" s="375"/>
      <c r="B80" s="376"/>
      <c r="C80" s="377"/>
      <c r="D80" s="378"/>
      <c r="E80" s="379"/>
      <c r="F80" s="380"/>
      <c r="G80" s="381"/>
      <c r="H80" s="382"/>
    </row>
    <row r="81" spans="1:8" ht="15.75">
      <c r="A81" s="385" t="s">
        <v>736</v>
      </c>
      <c r="B81" s="376"/>
      <c r="C81" s="377"/>
      <c r="D81" s="378"/>
      <c r="E81" s="379"/>
      <c r="F81" s="383"/>
      <c r="G81" s="384"/>
      <c r="H81" s="377"/>
    </row>
    <row r="82" spans="1:8" ht="15.75">
      <c r="A82" s="386"/>
      <c r="B82" s="386"/>
      <c r="C82" s="386"/>
      <c r="D82" s="387"/>
      <c r="E82" s="388"/>
      <c r="F82" s="389"/>
      <c r="G82" s="390"/>
      <c r="H82" s="391"/>
    </row>
    <row r="83" spans="1:8" ht="15.75">
      <c r="A83" s="1013" t="s">
        <v>432</v>
      </c>
      <c r="B83" s="1013"/>
      <c r="C83" s="1014"/>
      <c r="D83" s="991"/>
      <c r="E83" s="392" t="s">
        <v>168</v>
      </c>
      <c r="F83" s="389"/>
      <c r="G83" s="390"/>
      <c r="H83" s="391"/>
    </row>
    <row r="84" spans="1:8" ht="15.75">
      <c r="A84" s="386"/>
      <c r="B84" s="386"/>
      <c r="C84" s="386"/>
      <c r="D84" s="387"/>
      <c r="E84" s="388"/>
      <c r="F84" s="389"/>
      <c r="G84" s="390"/>
      <c r="H84" s="391"/>
    </row>
    <row r="85" spans="1:8" ht="15.75">
      <c r="A85" s="386" t="s">
        <v>169</v>
      </c>
      <c r="B85" s="386"/>
      <c r="C85" s="386"/>
      <c r="D85" s="387"/>
      <c r="E85" s="392" t="s">
        <v>170</v>
      </c>
      <c r="F85" s="393"/>
      <c r="G85" s="394"/>
      <c r="H85" s="395"/>
    </row>
    <row r="86" spans="1:8" ht="15.75">
      <c r="A86" s="386"/>
      <c r="B86" s="386"/>
      <c r="C86" s="386"/>
      <c r="D86" s="387"/>
      <c r="E86" s="388"/>
      <c r="F86" s="393"/>
      <c r="G86" s="394"/>
      <c r="H86" s="395"/>
    </row>
    <row r="87" spans="1:8" ht="15.75">
      <c r="A87" s="386" t="s">
        <v>171</v>
      </c>
      <c r="B87" s="386"/>
      <c r="C87" s="386"/>
      <c r="D87" s="387"/>
      <c r="E87" s="392" t="s">
        <v>433</v>
      </c>
      <c r="F87" s="396"/>
      <c r="G87" s="397"/>
      <c r="H87" s="398"/>
    </row>
    <row r="88" spans="1:8" ht="15.75">
      <c r="A88" s="386"/>
      <c r="B88" s="386"/>
      <c r="C88" s="386"/>
      <c r="D88" s="399"/>
      <c r="E88" s="399"/>
      <c r="F88" s="399"/>
      <c r="G88" s="400"/>
      <c r="H88" s="401"/>
    </row>
    <row r="89" spans="1:8" ht="15.75">
      <c r="A89" s="386" t="s">
        <v>435</v>
      </c>
      <c r="B89" s="386"/>
      <c r="C89" s="386"/>
      <c r="D89" s="375"/>
      <c r="E89" s="990" t="s">
        <v>436</v>
      </c>
      <c r="F89" s="991"/>
      <c r="G89" s="394"/>
      <c r="H89" s="395"/>
    </row>
  </sheetData>
  <sheetProtection/>
  <mergeCells count="119">
    <mergeCell ref="C25:H25"/>
    <mergeCell ref="C32:C33"/>
    <mergeCell ref="F76:G76"/>
    <mergeCell ref="A83:D83"/>
    <mergeCell ref="A22:A24"/>
    <mergeCell ref="B22:B24"/>
    <mergeCell ref="C22:C24"/>
    <mergeCell ref="D22:D23"/>
    <mergeCell ref="F22:G22"/>
    <mergeCell ref="H22:H24"/>
    <mergeCell ref="F23:G23"/>
    <mergeCell ref="F24:G24"/>
    <mergeCell ref="A19:A21"/>
    <mergeCell ref="B19:B21"/>
    <mergeCell ref="C19:C21"/>
    <mergeCell ref="D19:D20"/>
    <mergeCell ref="F19:G19"/>
    <mergeCell ref="A14:H14"/>
    <mergeCell ref="H19:H21"/>
    <mergeCell ref="F20:G20"/>
    <mergeCell ref="F21:G21"/>
    <mergeCell ref="C16:C18"/>
    <mergeCell ref="D16:D17"/>
    <mergeCell ref="F16:G16"/>
    <mergeCell ref="H16:H18"/>
    <mergeCell ref="F17:G17"/>
    <mergeCell ref="F18:G18"/>
    <mergeCell ref="C29:C31"/>
    <mergeCell ref="D29:D31"/>
    <mergeCell ref="D32:D33"/>
    <mergeCell ref="A8:H8"/>
    <mergeCell ref="A9:H9"/>
    <mergeCell ref="A10:H10"/>
    <mergeCell ref="A11:H11"/>
    <mergeCell ref="A12:H12"/>
    <mergeCell ref="A15:B15"/>
    <mergeCell ref="C15:H15"/>
    <mergeCell ref="A16:A18"/>
    <mergeCell ref="B16:B18"/>
    <mergeCell ref="A34:A36"/>
    <mergeCell ref="B34:B36"/>
    <mergeCell ref="C34:C36"/>
    <mergeCell ref="D34:D35"/>
    <mergeCell ref="A25:A33"/>
    <mergeCell ref="B26:B33"/>
    <mergeCell ref="C26:C28"/>
    <mergeCell ref="D26:D28"/>
    <mergeCell ref="F34:G34"/>
    <mergeCell ref="H34:H36"/>
    <mergeCell ref="F35:G35"/>
    <mergeCell ref="F36:G36"/>
    <mergeCell ref="A37:H37"/>
    <mergeCell ref="A38:B38"/>
    <mergeCell ref="C38:H38"/>
    <mergeCell ref="A39:A41"/>
    <mergeCell ref="B39:B41"/>
    <mergeCell ref="C39:C41"/>
    <mergeCell ref="D39:D40"/>
    <mergeCell ref="F39:G39"/>
    <mergeCell ref="H39:H41"/>
    <mergeCell ref="F40:G40"/>
    <mergeCell ref="F41:G41"/>
    <mergeCell ref="H42:H43"/>
    <mergeCell ref="F43:G43"/>
    <mergeCell ref="D44:D46"/>
    <mergeCell ref="E44:E46"/>
    <mergeCell ref="D47:D49"/>
    <mergeCell ref="E47:E49"/>
    <mergeCell ref="D50:D51"/>
    <mergeCell ref="A52:A54"/>
    <mergeCell ref="B52:B54"/>
    <mergeCell ref="C52:C54"/>
    <mergeCell ref="D52:D53"/>
    <mergeCell ref="F52:G52"/>
    <mergeCell ref="A42:A51"/>
    <mergeCell ref="B42:B51"/>
    <mergeCell ref="C42:C51"/>
    <mergeCell ref="F42:G42"/>
    <mergeCell ref="H52:H54"/>
    <mergeCell ref="F53:G53"/>
    <mergeCell ref="F54:G54"/>
    <mergeCell ref="A55:B55"/>
    <mergeCell ref="C55:H55"/>
    <mergeCell ref="A56:A61"/>
    <mergeCell ref="C56:H56"/>
    <mergeCell ref="B57:B61"/>
    <mergeCell ref="C57:C58"/>
    <mergeCell ref="D57:D59"/>
    <mergeCell ref="E57:E59"/>
    <mergeCell ref="D60:D61"/>
    <mergeCell ref="E60:E61"/>
    <mergeCell ref="A62:A64"/>
    <mergeCell ref="C62:H62"/>
    <mergeCell ref="B63:B64"/>
    <mergeCell ref="C63:C64"/>
    <mergeCell ref="D63:D64"/>
    <mergeCell ref="H63:H64"/>
    <mergeCell ref="A67:A69"/>
    <mergeCell ref="B67:B69"/>
    <mergeCell ref="C67:C69"/>
    <mergeCell ref="D67:D68"/>
    <mergeCell ref="E67:E68"/>
    <mergeCell ref="F68:G68"/>
    <mergeCell ref="F69:G69"/>
    <mergeCell ref="A70:B70"/>
    <mergeCell ref="C70:H70"/>
    <mergeCell ref="A71:A72"/>
    <mergeCell ref="B71:B72"/>
    <mergeCell ref="C71:C72"/>
    <mergeCell ref="D71:D72"/>
    <mergeCell ref="F71:G72"/>
    <mergeCell ref="E89:F89"/>
    <mergeCell ref="F73:G73"/>
    <mergeCell ref="A74:A75"/>
    <mergeCell ref="B74:B75"/>
    <mergeCell ref="C74:C75"/>
    <mergeCell ref="D74:D75"/>
    <mergeCell ref="E74:E75"/>
    <mergeCell ref="F74:G75"/>
  </mergeCells>
  <printOptions/>
  <pageMargins left="0.11811023622047245" right="0.11811023622047245" top="0.15748031496062992" bottom="0.15748031496062992" header="0.31496062992125984" footer="0.31496062992125984"/>
  <pageSetup fitToHeight="3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2"/>
  <sheetViews>
    <sheetView zoomScale="80" zoomScaleNormal="80" zoomScalePageLayoutView="0" workbookViewId="0" topLeftCell="A1">
      <selection activeCell="I6" sqref="I6"/>
    </sheetView>
  </sheetViews>
  <sheetFormatPr defaultColWidth="9.140625" defaultRowHeight="15"/>
  <cols>
    <col min="1" max="1" width="5.00390625" style="68" customWidth="1"/>
    <col min="2" max="2" width="9.140625" style="68" customWidth="1"/>
    <col min="3" max="3" width="63.140625" style="68" customWidth="1"/>
    <col min="4" max="4" width="13.00390625" style="68" customWidth="1"/>
    <col min="5" max="5" width="13.7109375" style="1017" customWidth="1"/>
    <col min="6" max="7" width="13.57421875" style="68" customWidth="1"/>
    <col min="8" max="8" width="71.28125" style="68" customWidth="1"/>
    <col min="9" max="16384" width="9.140625" style="68" customWidth="1"/>
  </cols>
  <sheetData>
    <row r="1" spans="1:8" ht="15.75">
      <c r="A1" s="1"/>
      <c r="B1" s="2"/>
      <c r="C1" s="1"/>
      <c r="D1" s="1"/>
      <c r="E1" s="102"/>
      <c r="F1" s="3"/>
      <c r="G1" s="4"/>
      <c r="H1" s="1"/>
    </row>
    <row r="2" spans="1:8" ht="15.75">
      <c r="A2" s="1"/>
      <c r="B2" s="2"/>
      <c r="C2" s="1"/>
      <c r="D2" s="1"/>
      <c r="E2" s="102"/>
      <c r="F2" s="3"/>
      <c r="H2" s="109" t="s">
        <v>0</v>
      </c>
    </row>
    <row r="3" spans="1:8" ht="15.75">
      <c r="A3" s="1"/>
      <c r="B3" s="2"/>
      <c r="C3" s="1"/>
      <c r="D3" s="1"/>
      <c r="E3" s="102"/>
      <c r="F3" s="3"/>
      <c r="H3" s="104" t="s">
        <v>1</v>
      </c>
    </row>
    <row r="4" spans="1:8" ht="15.75">
      <c r="A4" s="1"/>
      <c r="B4" s="2"/>
      <c r="C4" s="1"/>
      <c r="D4" s="1"/>
      <c r="E4" s="102"/>
      <c r="F4" s="3"/>
      <c r="H4" s="110" t="s">
        <v>2</v>
      </c>
    </row>
    <row r="5" spans="1:8" ht="15.75">
      <c r="A5" s="1"/>
      <c r="B5" s="2"/>
      <c r="C5" s="1"/>
      <c r="D5" s="1"/>
      <c r="E5" s="102"/>
      <c r="F5" s="3"/>
      <c r="H5" s="105"/>
    </row>
    <row r="6" spans="1:8" ht="15.75">
      <c r="A6" s="1"/>
      <c r="B6" s="2"/>
      <c r="C6" s="1"/>
      <c r="D6" s="1"/>
      <c r="E6" s="1038"/>
      <c r="F6" s="5"/>
      <c r="H6" s="111" t="s">
        <v>3</v>
      </c>
    </row>
    <row r="7" spans="1:8" ht="15.75">
      <c r="A7" s="1"/>
      <c r="B7" s="2"/>
      <c r="C7" s="1"/>
      <c r="D7" s="1"/>
      <c r="E7" s="1038"/>
      <c r="F7" s="5"/>
      <c r="G7" s="6"/>
      <c r="H7" s="7"/>
    </row>
    <row r="8" spans="1:8" ht="15.75">
      <c r="A8" s="576" t="s">
        <v>4</v>
      </c>
      <c r="B8" s="576"/>
      <c r="C8" s="576"/>
      <c r="D8" s="576"/>
      <c r="E8" s="576"/>
      <c r="F8" s="576"/>
      <c r="G8" s="576"/>
      <c r="H8" s="576"/>
    </row>
    <row r="9" spans="1:8" ht="15.75">
      <c r="A9" s="576" t="s">
        <v>5</v>
      </c>
      <c r="B9" s="576"/>
      <c r="C9" s="576"/>
      <c r="D9" s="576"/>
      <c r="E9" s="576"/>
      <c r="F9" s="576"/>
      <c r="G9" s="576"/>
      <c r="H9" s="576"/>
    </row>
    <row r="10" spans="1:8" ht="15.75">
      <c r="A10" s="576" t="s">
        <v>6</v>
      </c>
      <c r="B10" s="576"/>
      <c r="C10" s="576"/>
      <c r="D10" s="576"/>
      <c r="E10" s="576"/>
      <c r="F10" s="576"/>
      <c r="G10" s="576"/>
      <c r="H10" s="576"/>
    </row>
    <row r="11" spans="1:8" ht="15.75">
      <c r="A11" s="523" t="s">
        <v>749</v>
      </c>
      <c r="B11" s="523"/>
      <c r="C11" s="523"/>
      <c r="D11" s="523"/>
      <c r="E11" s="523"/>
      <c r="F11" s="523"/>
      <c r="G11" s="523"/>
      <c r="H11" s="523"/>
    </row>
    <row r="12" spans="1:8" ht="15.75">
      <c r="A12" s="8"/>
      <c r="B12" s="8"/>
      <c r="C12" s="8"/>
      <c r="D12" s="8"/>
      <c r="E12" s="8"/>
      <c r="F12" s="8"/>
      <c r="G12" s="8"/>
      <c r="H12" s="8"/>
    </row>
    <row r="13" spans="1:8" ht="63">
      <c r="A13" s="1037" t="s">
        <v>8</v>
      </c>
      <c r="B13" s="9" t="s">
        <v>9</v>
      </c>
      <c r="C13" s="1037" t="s">
        <v>10</v>
      </c>
      <c r="D13" s="1037" t="s">
        <v>11</v>
      </c>
      <c r="E13" s="1037" t="s">
        <v>12</v>
      </c>
      <c r="F13" s="1036" t="s">
        <v>13</v>
      </c>
      <c r="G13" s="1035" t="s">
        <v>14</v>
      </c>
      <c r="H13" s="1037" t="s">
        <v>15</v>
      </c>
    </row>
    <row r="14" spans="1:8" ht="15.75" customHeight="1">
      <c r="A14" s="525" t="s">
        <v>16</v>
      </c>
      <c r="B14" s="525"/>
      <c r="C14" s="525"/>
      <c r="D14" s="525"/>
      <c r="E14" s="525"/>
      <c r="F14" s="525"/>
      <c r="G14" s="525"/>
      <c r="H14" s="525"/>
    </row>
    <row r="15" spans="1:8" ht="15.75" customHeight="1">
      <c r="A15" s="526" t="s">
        <v>17</v>
      </c>
      <c r="B15" s="526"/>
      <c r="C15" s="525" t="s">
        <v>18</v>
      </c>
      <c r="D15" s="525"/>
      <c r="E15" s="525"/>
      <c r="F15" s="525"/>
      <c r="G15" s="525"/>
      <c r="H15" s="525"/>
    </row>
    <row r="16" spans="1:8" ht="15.75" customHeight="1">
      <c r="A16" s="528">
        <v>1</v>
      </c>
      <c r="B16" s="526" t="s">
        <v>19</v>
      </c>
      <c r="C16" s="528" t="s">
        <v>20</v>
      </c>
      <c r="D16" s="528" t="s">
        <v>21</v>
      </c>
      <c r="E16" s="1043" t="s">
        <v>22</v>
      </c>
      <c r="F16" s="1058" t="s">
        <v>23</v>
      </c>
      <c r="G16" s="1058"/>
      <c r="H16" s="528"/>
    </row>
    <row r="17" spans="1:8" ht="15.75" customHeight="1">
      <c r="A17" s="528"/>
      <c r="B17" s="526"/>
      <c r="C17" s="528"/>
      <c r="D17" s="528"/>
      <c r="E17" s="1043" t="s">
        <v>24</v>
      </c>
      <c r="F17" s="1058" t="s">
        <v>23</v>
      </c>
      <c r="G17" s="1058"/>
      <c r="H17" s="528"/>
    </row>
    <row r="18" spans="1:8" ht="15.75" customHeight="1">
      <c r="A18" s="528"/>
      <c r="B18" s="526"/>
      <c r="C18" s="528"/>
      <c r="D18" s="12" t="s">
        <v>25</v>
      </c>
      <c r="E18" s="1043"/>
      <c r="F18" s="1058" t="s">
        <v>23</v>
      </c>
      <c r="G18" s="1058"/>
      <c r="H18" s="528"/>
    </row>
    <row r="19" spans="1:8" ht="15.75" customHeight="1">
      <c r="A19" s="525" t="s">
        <v>26</v>
      </c>
      <c r="B19" s="525"/>
      <c r="C19" s="526" t="s">
        <v>27</v>
      </c>
      <c r="D19" s="526"/>
      <c r="E19" s="526"/>
      <c r="F19" s="526"/>
      <c r="G19" s="526"/>
      <c r="H19" s="526"/>
    </row>
    <row r="20" spans="1:8" ht="15.75" customHeight="1">
      <c r="A20" s="961">
        <v>2</v>
      </c>
      <c r="B20" s="526" t="s">
        <v>28</v>
      </c>
      <c r="C20" s="528" t="s">
        <v>29</v>
      </c>
      <c r="D20" s="528" t="s">
        <v>21</v>
      </c>
      <c r="E20" s="1043" t="s">
        <v>22</v>
      </c>
      <c r="F20" s="1058" t="s">
        <v>23</v>
      </c>
      <c r="G20" s="1058"/>
      <c r="H20" s="531"/>
    </row>
    <row r="21" spans="1:8" ht="31.5">
      <c r="A21" s="961"/>
      <c r="B21" s="526"/>
      <c r="C21" s="528"/>
      <c r="D21" s="528"/>
      <c r="E21" s="1043" t="s">
        <v>30</v>
      </c>
      <c r="F21" s="1058" t="s">
        <v>23</v>
      </c>
      <c r="G21" s="1058"/>
      <c r="H21" s="532"/>
    </row>
    <row r="22" spans="1:8" ht="15.75" customHeight="1">
      <c r="A22" s="961"/>
      <c r="B22" s="526"/>
      <c r="C22" s="528"/>
      <c r="D22" s="12" t="s">
        <v>25</v>
      </c>
      <c r="E22" s="1043"/>
      <c r="F22" s="1058" t="s">
        <v>23</v>
      </c>
      <c r="G22" s="1058"/>
      <c r="H22" s="533"/>
    </row>
    <row r="23" spans="1:8" ht="15.75" customHeight="1">
      <c r="A23" s="961">
        <v>3</v>
      </c>
      <c r="B23" s="526" t="s">
        <v>31</v>
      </c>
      <c r="C23" s="528" t="s">
        <v>32</v>
      </c>
      <c r="D23" s="528" t="s">
        <v>21</v>
      </c>
      <c r="E23" s="1043" t="s">
        <v>22</v>
      </c>
      <c r="F23" s="1058" t="s">
        <v>23</v>
      </c>
      <c r="G23" s="1058"/>
      <c r="H23" s="531"/>
    </row>
    <row r="24" spans="1:8" ht="31.5">
      <c r="A24" s="961"/>
      <c r="B24" s="526"/>
      <c r="C24" s="528"/>
      <c r="D24" s="528"/>
      <c r="E24" s="1043" t="s">
        <v>30</v>
      </c>
      <c r="F24" s="1058" t="s">
        <v>23</v>
      </c>
      <c r="G24" s="1058"/>
      <c r="H24" s="532"/>
    </row>
    <row r="25" spans="1:8" ht="15.75" customHeight="1">
      <c r="A25" s="961"/>
      <c r="B25" s="526"/>
      <c r="C25" s="528"/>
      <c r="D25" s="12" t="s">
        <v>25</v>
      </c>
      <c r="E25" s="1043"/>
      <c r="F25" s="1058" t="s">
        <v>23</v>
      </c>
      <c r="G25" s="1058"/>
      <c r="H25" s="533"/>
    </row>
    <row r="26" spans="1:8" ht="15.75" customHeight="1">
      <c r="A26" s="603">
        <v>4</v>
      </c>
      <c r="B26" s="529" t="s">
        <v>33</v>
      </c>
      <c r="C26" s="526" t="s">
        <v>34</v>
      </c>
      <c r="D26" s="526"/>
      <c r="E26" s="526"/>
      <c r="F26" s="526"/>
      <c r="G26" s="526"/>
      <c r="H26" s="526"/>
    </row>
    <row r="27" spans="1:8" ht="15.75" customHeight="1">
      <c r="A27" s="1059"/>
      <c r="B27" s="530"/>
      <c r="C27" s="543" t="s">
        <v>35</v>
      </c>
      <c r="D27" s="1060" t="s">
        <v>21</v>
      </c>
      <c r="E27" s="1043" t="s">
        <v>36</v>
      </c>
      <c r="F27" s="257">
        <v>6898</v>
      </c>
      <c r="G27" s="13">
        <v>8277.6</v>
      </c>
      <c r="H27" s="540" t="s">
        <v>37</v>
      </c>
    </row>
    <row r="28" spans="1:8" ht="15.75">
      <c r="A28" s="1059"/>
      <c r="B28" s="530"/>
      <c r="C28" s="544"/>
      <c r="D28" s="1060"/>
      <c r="E28" s="1043" t="s">
        <v>38</v>
      </c>
      <c r="F28" s="257">
        <v>8986</v>
      </c>
      <c r="G28" s="13">
        <v>10783.199999999999</v>
      </c>
      <c r="H28" s="541"/>
    </row>
    <row r="29" spans="1:8" ht="15.75">
      <c r="A29" s="1059"/>
      <c r="B29" s="530"/>
      <c r="C29" s="543" t="s">
        <v>39</v>
      </c>
      <c r="D29" s="1060" t="s">
        <v>21</v>
      </c>
      <c r="E29" s="1043" t="s">
        <v>36</v>
      </c>
      <c r="F29" s="257">
        <v>8709</v>
      </c>
      <c r="G29" s="13">
        <v>10450.8</v>
      </c>
      <c r="H29" s="541"/>
    </row>
    <row r="30" spans="1:8" ht="15.75">
      <c r="A30" s="1059"/>
      <c r="B30" s="530"/>
      <c r="C30" s="544"/>
      <c r="D30" s="1060"/>
      <c r="E30" s="1043" t="s">
        <v>38</v>
      </c>
      <c r="F30" s="257">
        <v>10602</v>
      </c>
      <c r="G30" s="13">
        <v>12722.4</v>
      </c>
      <c r="H30" s="541"/>
    </row>
    <row r="31" spans="1:8" ht="15.75">
      <c r="A31" s="1059"/>
      <c r="B31" s="530"/>
      <c r="C31" s="543" t="s">
        <v>40</v>
      </c>
      <c r="D31" s="1060" t="s">
        <v>21</v>
      </c>
      <c r="E31" s="1043" t="s">
        <v>36</v>
      </c>
      <c r="F31" s="257">
        <v>10500</v>
      </c>
      <c r="G31" s="13">
        <v>12600</v>
      </c>
      <c r="H31" s="541"/>
    </row>
    <row r="32" spans="1:8" ht="15.75">
      <c r="A32" s="1059"/>
      <c r="B32" s="530"/>
      <c r="C32" s="544"/>
      <c r="D32" s="1060"/>
      <c r="E32" s="1043" t="s">
        <v>38</v>
      </c>
      <c r="F32" s="257">
        <v>11132</v>
      </c>
      <c r="G32" s="13">
        <v>13358.4</v>
      </c>
      <c r="H32" s="541"/>
    </row>
    <row r="33" spans="1:8" ht="15.75">
      <c r="A33" s="1059"/>
      <c r="B33" s="530"/>
      <c r="C33" s="642" t="s">
        <v>41</v>
      </c>
      <c r="D33" s="1060" t="s">
        <v>21</v>
      </c>
      <c r="E33" s="1043" t="s">
        <v>36</v>
      </c>
      <c r="F33" s="257">
        <v>11922</v>
      </c>
      <c r="G33" s="13">
        <v>14306.4</v>
      </c>
      <c r="H33" s="541"/>
    </row>
    <row r="34" spans="1:8" ht="15.75">
      <c r="A34" s="1059"/>
      <c r="B34" s="530"/>
      <c r="C34" s="642"/>
      <c r="D34" s="1060"/>
      <c r="E34" s="1043" t="s">
        <v>38</v>
      </c>
      <c r="F34" s="257">
        <v>14189</v>
      </c>
      <c r="G34" s="13">
        <v>17026.8</v>
      </c>
      <c r="H34" s="541"/>
    </row>
    <row r="35" spans="1:8" ht="15.75">
      <c r="A35" s="1059"/>
      <c r="B35" s="530"/>
      <c r="C35" s="642" t="s">
        <v>42</v>
      </c>
      <c r="D35" s="1060" t="s">
        <v>21</v>
      </c>
      <c r="E35" s="1043" t="s">
        <v>36</v>
      </c>
      <c r="F35" s="257">
        <v>13806</v>
      </c>
      <c r="G35" s="13">
        <v>16567.2</v>
      </c>
      <c r="H35" s="541"/>
    </row>
    <row r="36" spans="1:8" ht="15.75">
      <c r="A36" s="1059"/>
      <c r="B36" s="530"/>
      <c r="C36" s="642"/>
      <c r="D36" s="1060"/>
      <c r="E36" s="1043" t="s">
        <v>38</v>
      </c>
      <c r="F36" s="257">
        <v>17164</v>
      </c>
      <c r="G36" s="13">
        <v>20596.8</v>
      </c>
      <c r="H36" s="541"/>
    </row>
    <row r="37" spans="1:8" ht="15.75">
      <c r="A37" s="1059"/>
      <c r="B37" s="530"/>
      <c r="C37" s="642" t="s">
        <v>43</v>
      </c>
      <c r="D37" s="1060" t="s">
        <v>21</v>
      </c>
      <c r="E37" s="1043" t="s">
        <v>36</v>
      </c>
      <c r="F37" s="257">
        <v>15338</v>
      </c>
      <c r="G37" s="13">
        <v>18405.6</v>
      </c>
      <c r="H37" s="541"/>
    </row>
    <row r="38" spans="1:8" ht="15.75">
      <c r="A38" s="1059"/>
      <c r="B38" s="530"/>
      <c r="C38" s="642"/>
      <c r="D38" s="1060"/>
      <c r="E38" s="1043" t="s">
        <v>38</v>
      </c>
      <c r="F38" s="257">
        <v>19859</v>
      </c>
      <c r="G38" s="13">
        <v>23830.8</v>
      </c>
      <c r="H38" s="541"/>
    </row>
    <row r="39" spans="1:8" ht="15.75">
      <c r="A39" s="1059"/>
      <c r="B39" s="530"/>
      <c r="C39" s="642" t="s">
        <v>44</v>
      </c>
      <c r="D39" s="1060" t="s">
        <v>21</v>
      </c>
      <c r="E39" s="1043" t="s">
        <v>36</v>
      </c>
      <c r="F39" s="257">
        <v>18553</v>
      </c>
      <c r="G39" s="13">
        <v>22263.6</v>
      </c>
      <c r="H39" s="541"/>
    </row>
    <row r="40" spans="1:8" ht="15.75">
      <c r="A40" s="1059"/>
      <c r="B40" s="530"/>
      <c r="C40" s="642"/>
      <c r="D40" s="1060"/>
      <c r="E40" s="1043" t="s">
        <v>38</v>
      </c>
      <c r="F40" s="257">
        <v>21536</v>
      </c>
      <c r="G40" s="13">
        <v>25843.2</v>
      </c>
      <c r="H40" s="541"/>
    </row>
    <row r="41" spans="1:8" ht="15.75">
      <c r="A41" s="1059"/>
      <c r="B41" s="530"/>
      <c r="C41" s="642" t="s">
        <v>45</v>
      </c>
      <c r="D41" s="1060" t="s">
        <v>21</v>
      </c>
      <c r="E41" s="1043" t="s">
        <v>36</v>
      </c>
      <c r="F41" s="257">
        <v>27214</v>
      </c>
      <c r="G41" s="13">
        <v>32656.8</v>
      </c>
      <c r="H41" s="541"/>
    </row>
    <row r="42" spans="1:8" ht="15.75">
      <c r="A42" s="1059"/>
      <c r="B42" s="530"/>
      <c r="C42" s="642"/>
      <c r="D42" s="1060"/>
      <c r="E42" s="1043" t="s">
        <v>38</v>
      </c>
      <c r="F42" s="257">
        <v>30938</v>
      </c>
      <c r="G42" s="13">
        <v>37125.6</v>
      </c>
      <c r="H42" s="541"/>
    </row>
    <row r="43" spans="1:8" ht="15.75">
      <c r="A43" s="1059"/>
      <c r="B43" s="530"/>
      <c r="C43" s="642" t="s">
        <v>46</v>
      </c>
      <c r="D43" s="1060" t="s">
        <v>21</v>
      </c>
      <c r="E43" s="1043" t="s">
        <v>36</v>
      </c>
      <c r="F43" s="257">
        <v>47719</v>
      </c>
      <c r="G43" s="13">
        <v>57262.799999999996</v>
      </c>
      <c r="H43" s="541"/>
    </row>
    <row r="44" spans="1:8" ht="15.75">
      <c r="A44" s="1059"/>
      <c r="B44" s="530"/>
      <c r="C44" s="642"/>
      <c r="D44" s="1060"/>
      <c r="E44" s="1043" t="s">
        <v>38</v>
      </c>
      <c r="F44" s="257">
        <v>51622</v>
      </c>
      <c r="G44" s="13">
        <v>61946.399999999994</v>
      </c>
      <c r="H44" s="541"/>
    </row>
    <row r="45" spans="1:8" ht="15.75">
      <c r="A45" s="1059"/>
      <c r="B45" s="530"/>
      <c r="C45" s="642" t="s">
        <v>47</v>
      </c>
      <c r="D45" s="1060" t="s">
        <v>21</v>
      </c>
      <c r="E45" s="1043" t="s">
        <v>36</v>
      </c>
      <c r="F45" s="257">
        <v>42722</v>
      </c>
      <c r="G45" s="13">
        <v>51266.4</v>
      </c>
      <c r="H45" s="541"/>
    </row>
    <row r="46" spans="1:8" ht="15.75">
      <c r="A46" s="1059"/>
      <c r="B46" s="530"/>
      <c r="C46" s="642"/>
      <c r="D46" s="1060"/>
      <c r="E46" s="1043" t="s">
        <v>38</v>
      </c>
      <c r="F46" s="257">
        <v>51741</v>
      </c>
      <c r="G46" s="13">
        <v>62089.2</v>
      </c>
      <c r="H46" s="541"/>
    </row>
    <row r="47" spans="1:8" ht="15.75">
      <c r="A47" s="1059"/>
      <c r="B47" s="530"/>
      <c r="C47" s="642" t="s">
        <v>48</v>
      </c>
      <c r="D47" s="1060" t="s">
        <v>21</v>
      </c>
      <c r="E47" s="1043" t="s">
        <v>36</v>
      </c>
      <c r="F47" s="257">
        <v>50457</v>
      </c>
      <c r="G47" s="13">
        <v>60548.399999999994</v>
      </c>
      <c r="H47" s="541"/>
    </row>
    <row r="48" spans="1:8" ht="15.75">
      <c r="A48" s="1059"/>
      <c r="B48" s="530"/>
      <c r="C48" s="642"/>
      <c r="D48" s="1060"/>
      <c r="E48" s="1043" t="s">
        <v>38</v>
      </c>
      <c r="F48" s="257">
        <v>58183</v>
      </c>
      <c r="G48" s="13">
        <v>69819.59999999999</v>
      </c>
      <c r="H48" s="541"/>
    </row>
    <row r="49" spans="1:8" ht="15.75">
      <c r="A49" s="1059"/>
      <c r="B49" s="530"/>
      <c r="C49" s="642" t="s">
        <v>49</v>
      </c>
      <c r="D49" s="1060" t="s">
        <v>21</v>
      </c>
      <c r="E49" s="1043" t="s">
        <v>36</v>
      </c>
      <c r="F49" s="257">
        <v>59771</v>
      </c>
      <c r="G49" s="13">
        <v>71725.2</v>
      </c>
      <c r="H49" s="541"/>
    </row>
    <row r="50" spans="1:8" ht="15.75">
      <c r="A50" s="1059"/>
      <c r="B50" s="530"/>
      <c r="C50" s="642"/>
      <c r="D50" s="1060"/>
      <c r="E50" s="1043" t="s">
        <v>38</v>
      </c>
      <c r="F50" s="257">
        <v>65483</v>
      </c>
      <c r="G50" s="13">
        <v>78579.59999999999</v>
      </c>
      <c r="H50" s="541"/>
    </row>
    <row r="51" spans="1:8" ht="15.75">
      <c r="A51" s="1059"/>
      <c r="B51" s="530"/>
      <c r="C51" s="642" t="s">
        <v>50</v>
      </c>
      <c r="D51" s="1060" t="s">
        <v>21</v>
      </c>
      <c r="E51" s="1043" t="s">
        <v>36</v>
      </c>
      <c r="F51" s="257">
        <v>68839</v>
      </c>
      <c r="G51" s="13">
        <v>82606.8</v>
      </c>
      <c r="H51" s="541"/>
    </row>
    <row r="52" spans="1:8" ht="15.75">
      <c r="A52" s="1059"/>
      <c r="B52" s="530"/>
      <c r="C52" s="642"/>
      <c r="D52" s="1060"/>
      <c r="E52" s="1043" t="s">
        <v>38</v>
      </c>
      <c r="F52" s="257">
        <v>73027</v>
      </c>
      <c r="G52" s="13">
        <v>87632.4</v>
      </c>
      <c r="H52" s="541"/>
    </row>
    <row r="53" spans="1:8" ht="15.75">
      <c r="A53" s="1061"/>
      <c r="B53" s="17"/>
      <c r="C53" s="642" t="s">
        <v>51</v>
      </c>
      <c r="D53" s="1060" t="s">
        <v>21</v>
      </c>
      <c r="E53" s="1043" t="s">
        <v>36</v>
      </c>
      <c r="F53" s="257">
        <v>73593</v>
      </c>
      <c r="G53" s="13">
        <v>88311.59999999999</v>
      </c>
      <c r="H53" s="541"/>
    </row>
    <row r="54" spans="1:8" ht="15.75">
      <c r="A54" s="1061"/>
      <c r="B54" s="17"/>
      <c r="C54" s="642"/>
      <c r="D54" s="1060"/>
      <c r="E54" s="1043" t="s">
        <v>38</v>
      </c>
      <c r="F54" s="257">
        <v>74991</v>
      </c>
      <c r="G54" s="13">
        <v>89989.2</v>
      </c>
      <c r="H54" s="542"/>
    </row>
    <row r="55" spans="1:8" ht="15.75">
      <c r="A55" s="1061"/>
      <c r="B55" s="17"/>
      <c r="C55" s="642" t="s">
        <v>52</v>
      </c>
      <c r="D55" s="1060" t="s">
        <v>21</v>
      </c>
      <c r="E55" s="1043" t="s">
        <v>36</v>
      </c>
      <c r="F55" s="257">
        <v>3302</v>
      </c>
      <c r="G55" s="13">
        <v>3962.3999999999996</v>
      </c>
      <c r="H55" s="540" t="s">
        <v>53</v>
      </c>
    </row>
    <row r="56" spans="1:8" ht="15.75">
      <c r="A56" s="1061"/>
      <c r="B56" s="17"/>
      <c r="C56" s="642"/>
      <c r="D56" s="1060"/>
      <c r="E56" s="1043" t="s">
        <v>38</v>
      </c>
      <c r="F56" s="257">
        <v>3924</v>
      </c>
      <c r="G56" s="13">
        <v>4708.8</v>
      </c>
      <c r="H56" s="542"/>
    </row>
    <row r="57" spans="1:8" ht="15.75">
      <c r="A57" s="1061"/>
      <c r="B57" s="25"/>
      <c r="C57" s="1042" t="s">
        <v>54</v>
      </c>
      <c r="D57" s="19" t="s">
        <v>21</v>
      </c>
      <c r="E57" s="1043" t="s">
        <v>22</v>
      </c>
      <c r="F57" s="257">
        <v>1059</v>
      </c>
      <c r="G57" s="13">
        <v>1270.8</v>
      </c>
      <c r="H57" s="1043" t="s">
        <v>55</v>
      </c>
    </row>
    <row r="58" spans="1:8" ht="15.75" customHeight="1">
      <c r="A58" s="658"/>
      <c r="B58" s="659"/>
      <c r="C58" s="551" t="s">
        <v>56</v>
      </c>
      <c r="D58" s="552"/>
      <c r="E58" s="552"/>
      <c r="F58" s="552"/>
      <c r="G58" s="552"/>
      <c r="H58" s="553"/>
    </row>
    <row r="59" spans="1:8" ht="15.75" customHeight="1">
      <c r="A59" s="961">
        <v>5</v>
      </c>
      <c r="B59" s="526" t="s">
        <v>57</v>
      </c>
      <c r="C59" s="642" t="s">
        <v>58</v>
      </c>
      <c r="D59" s="531" t="s">
        <v>21</v>
      </c>
      <c r="E59" s="1043" t="s">
        <v>22</v>
      </c>
      <c r="F59" s="1062" t="s">
        <v>23</v>
      </c>
      <c r="G59" s="1063"/>
      <c r="H59" s="12"/>
    </row>
    <row r="60" spans="1:8" ht="31.5">
      <c r="A60" s="961"/>
      <c r="B60" s="526"/>
      <c r="C60" s="642"/>
      <c r="D60" s="533"/>
      <c r="E60" s="1043" t="s">
        <v>24</v>
      </c>
      <c r="F60" s="598" t="s">
        <v>23</v>
      </c>
      <c r="G60" s="1064"/>
      <c r="H60" s="12"/>
    </row>
    <row r="61" spans="1:8" ht="15.75" customHeight="1">
      <c r="A61" s="961"/>
      <c r="B61" s="526"/>
      <c r="C61" s="642"/>
      <c r="D61" s="12" t="s">
        <v>25</v>
      </c>
      <c r="E61" s="1043"/>
      <c r="F61" s="598" t="s">
        <v>23</v>
      </c>
      <c r="G61" s="1064"/>
      <c r="H61" s="12"/>
    </row>
    <row r="62" spans="1:8" ht="15.75" customHeight="1">
      <c r="A62" s="658"/>
      <c r="B62" s="659"/>
      <c r="C62" s="551" t="s">
        <v>59</v>
      </c>
      <c r="D62" s="1065"/>
      <c r="E62" s="1065"/>
      <c r="F62" s="1065"/>
      <c r="G62" s="1065"/>
      <c r="H62" s="599"/>
    </row>
    <row r="63" spans="1:8" ht="15.75">
      <c r="A63" s="609">
        <v>6</v>
      </c>
      <c r="B63" s="529" t="s">
        <v>60</v>
      </c>
      <c r="C63" s="543" t="s">
        <v>59</v>
      </c>
      <c r="D63" s="1028" t="s">
        <v>21</v>
      </c>
      <c r="E63" s="86" t="s">
        <v>61</v>
      </c>
      <c r="F63" s="257">
        <v>3260</v>
      </c>
      <c r="G63" s="13">
        <v>3912</v>
      </c>
      <c r="H63" s="404"/>
    </row>
    <row r="64" spans="1:8" ht="15.75">
      <c r="A64" s="610"/>
      <c r="B64" s="530"/>
      <c r="C64" s="605"/>
      <c r="D64" s="1029"/>
      <c r="E64" s="86" t="s">
        <v>22</v>
      </c>
      <c r="F64" s="257">
        <v>7672</v>
      </c>
      <c r="G64" s="13">
        <v>9206.4</v>
      </c>
      <c r="H64" s="29" t="s">
        <v>62</v>
      </c>
    </row>
    <row r="65" spans="1:8" ht="15.75">
      <c r="A65" s="610"/>
      <c r="B65" s="530"/>
      <c r="C65" s="605"/>
      <c r="D65" s="1029"/>
      <c r="E65" s="86" t="s">
        <v>22</v>
      </c>
      <c r="F65" s="257">
        <v>8752</v>
      </c>
      <c r="G65" s="13">
        <v>10502.4</v>
      </c>
      <c r="H65" s="29" t="s">
        <v>63</v>
      </c>
    </row>
    <row r="66" spans="1:8" ht="31.5">
      <c r="A66" s="610"/>
      <c r="B66" s="530"/>
      <c r="C66" s="605"/>
      <c r="D66" s="1029"/>
      <c r="E66" s="86" t="s">
        <v>30</v>
      </c>
      <c r="F66" s="257">
        <v>9562</v>
      </c>
      <c r="G66" s="13">
        <v>11474.4</v>
      </c>
      <c r="H66" s="29"/>
    </row>
    <row r="67" spans="1:8" ht="15.75">
      <c r="A67" s="610"/>
      <c r="B67" s="530"/>
      <c r="C67" s="605"/>
      <c r="D67" s="1029"/>
      <c r="E67" s="86" t="s">
        <v>22</v>
      </c>
      <c r="F67" s="257">
        <v>4384</v>
      </c>
      <c r="G67" s="13">
        <v>5260.8</v>
      </c>
      <c r="H67" s="29" t="s">
        <v>64</v>
      </c>
    </row>
    <row r="68" spans="1:8" ht="15.75">
      <c r="A68" s="610"/>
      <c r="B68" s="530"/>
      <c r="C68" s="605"/>
      <c r="D68" s="1029"/>
      <c r="E68" s="86" t="s">
        <v>22</v>
      </c>
      <c r="F68" s="257">
        <v>5464</v>
      </c>
      <c r="G68" s="13">
        <v>6556.8</v>
      </c>
      <c r="H68" s="29" t="s">
        <v>65</v>
      </c>
    </row>
    <row r="69" spans="1:8" ht="31.5">
      <c r="A69" s="610"/>
      <c r="B69" s="530"/>
      <c r="C69" s="605"/>
      <c r="D69" s="1029"/>
      <c r="E69" s="86" t="s">
        <v>30</v>
      </c>
      <c r="F69" s="257">
        <v>5464</v>
      </c>
      <c r="G69" s="13">
        <v>6556.8</v>
      </c>
      <c r="H69" s="29" t="s">
        <v>66</v>
      </c>
    </row>
    <row r="70" spans="1:8" ht="15.75">
      <c r="A70" s="610"/>
      <c r="B70" s="530"/>
      <c r="C70" s="605"/>
      <c r="D70" s="1029"/>
      <c r="E70" s="86" t="s">
        <v>22</v>
      </c>
      <c r="F70" s="257">
        <v>3288</v>
      </c>
      <c r="G70" s="13">
        <v>3945.6</v>
      </c>
      <c r="H70" s="29" t="s">
        <v>67</v>
      </c>
    </row>
    <row r="71" spans="1:8" ht="31.5">
      <c r="A71" s="611"/>
      <c r="B71" s="539"/>
      <c r="C71" s="544"/>
      <c r="D71" s="1030"/>
      <c r="E71" s="86" t="s">
        <v>30</v>
      </c>
      <c r="F71" s="257">
        <v>4098</v>
      </c>
      <c r="G71" s="13">
        <v>4917.599999999999</v>
      </c>
      <c r="H71" s="29" t="s">
        <v>67</v>
      </c>
    </row>
    <row r="72" spans="1:8" ht="15.75" customHeight="1">
      <c r="A72" s="549" t="s">
        <v>68</v>
      </c>
      <c r="B72" s="837"/>
      <c r="C72" s="837"/>
      <c r="D72" s="837"/>
      <c r="E72" s="837"/>
      <c r="F72" s="837"/>
      <c r="G72" s="837"/>
      <c r="H72" s="550"/>
    </row>
    <row r="73" spans="1:8" ht="15.75" customHeight="1">
      <c r="A73" s="526" t="s">
        <v>69</v>
      </c>
      <c r="B73" s="526"/>
      <c r="C73" s="549" t="s">
        <v>70</v>
      </c>
      <c r="D73" s="837"/>
      <c r="E73" s="837"/>
      <c r="F73" s="837"/>
      <c r="G73" s="837"/>
      <c r="H73" s="550"/>
    </row>
    <row r="74" spans="1:8" ht="15.75" customHeight="1">
      <c r="A74" s="528">
        <v>7</v>
      </c>
      <c r="B74" s="526" t="s">
        <v>71</v>
      </c>
      <c r="C74" s="642" t="s">
        <v>72</v>
      </c>
      <c r="D74" s="528" t="s">
        <v>21</v>
      </c>
      <c r="E74" s="1043" t="s">
        <v>22</v>
      </c>
      <c r="F74" s="598" t="s">
        <v>23</v>
      </c>
      <c r="G74" s="1064"/>
      <c r="H74" s="12"/>
    </row>
    <row r="75" spans="1:8" ht="31.5">
      <c r="A75" s="528"/>
      <c r="B75" s="526"/>
      <c r="C75" s="642"/>
      <c r="D75" s="528"/>
      <c r="E75" s="1043" t="s">
        <v>24</v>
      </c>
      <c r="F75" s="598" t="s">
        <v>23</v>
      </c>
      <c r="G75" s="1064"/>
      <c r="H75" s="12"/>
    </row>
    <row r="76" spans="1:8" ht="15.75" customHeight="1">
      <c r="A76" s="528"/>
      <c r="B76" s="526"/>
      <c r="C76" s="642"/>
      <c r="D76" s="12" t="s">
        <v>25</v>
      </c>
      <c r="E76" s="1043"/>
      <c r="F76" s="598" t="s">
        <v>23</v>
      </c>
      <c r="G76" s="1064"/>
      <c r="H76" s="12"/>
    </row>
    <row r="77" spans="1:8" ht="63">
      <c r="A77" s="531">
        <v>8</v>
      </c>
      <c r="B77" s="529" t="s">
        <v>73</v>
      </c>
      <c r="C77" s="531" t="s">
        <v>74</v>
      </c>
      <c r="D77" s="30" t="s">
        <v>75</v>
      </c>
      <c r="E77" s="1043" t="s">
        <v>21</v>
      </c>
      <c r="F77" s="835" t="s">
        <v>76</v>
      </c>
      <c r="G77" s="836"/>
      <c r="H77" s="1066" t="s">
        <v>77</v>
      </c>
    </row>
    <row r="78" spans="1:8" ht="15.75">
      <c r="A78" s="532"/>
      <c r="B78" s="530"/>
      <c r="C78" s="532"/>
      <c r="D78" s="32" t="s">
        <v>78</v>
      </c>
      <c r="E78" s="1043" t="s">
        <v>25</v>
      </c>
      <c r="F78" s="835" t="s">
        <v>76</v>
      </c>
      <c r="G78" s="836"/>
      <c r="H78" s="1067"/>
    </row>
    <row r="79" spans="1:8" ht="78.75">
      <c r="A79" s="532"/>
      <c r="B79" s="530"/>
      <c r="C79" s="532"/>
      <c r="D79" s="531" t="s">
        <v>79</v>
      </c>
      <c r="E79" s="1043" t="s">
        <v>22</v>
      </c>
      <c r="F79" s="33">
        <v>300</v>
      </c>
      <c r="G79" s="33">
        <v>360</v>
      </c>
      <c r="H79" s="348" t="s">
        <v>80</v>
      </c>
    </row>
    <row r="80" spans="1:8" ht="78.75">
      <c r="A80" s="532"/>
      <c r="B80" s="530"/>
      <c r="C80" s="532"/>
      <c r="D80" s="532"/>
      <c r="E80" s="1043" t="s">
        <v>22</v>
      </c>
      <c r="F80" s="1043">
        <v>600</v>
      </c>
      <c r="G80" s="33">
        <v>720</v>
      </c>
      <c r="H80" s="348" t="s">
        <v>81</v>
      </c>
    </row>
    <row r="81" spans="1:8" ht="78.75">
      <c r="A81" s="532"/>
      <c r="B81" s="530"/>
      <c r="C81" s="532"/>
      <c r="D81" s="532"/>
      <c r="E81" s="1043" t="s">
        <v>22</v>
      </c>
      <c r="F81" s="1043">
        <v>1000</v>
      </c>
      <c r="G81" s="33">
        <v>1200</v>
      </c>
      <c r="H81" s="348" t="s">
        <v>82</v>
      </c>
    </row>
    <row r="82" spans="1:8" ht="78.75">
      <c r="A82" s="532"/>
      <c r="B82" s="530"/>
      <c r="C82" s="532"/>
      <c r="D82" s="532"/>
      <c r="E82" s="1043" t="s">
        <v>38</v>
      </c>
      <c r="F82" s="1043">
        <v>500</v>
      </c>
      <c r="G82" s="33">
        <v>600</v>
      </c>
      <c r="H82" s="348" t="s">
        <v>80</v>
      </c>
    </row>
    <row r="83" spans="1:8" ht="78.75">
      <c r="A83" s="532"/>
      <c r="B83" s="530"/>
      <c r="C83" s="532"/>
      <c r="D83" s="532"/>
      <c r="E83" s="1043" t="s">
        <v>38</v>
      </c>
      <c r="F83" s="1043">
        <v>750</v>
      </c>
      <c r="G83" s="33">
        <v>900</v>
      </c>
      <c r="H83" s="348" t="s">
        <v>81</v>
      </c>
    </row>
    <row r="84" spans="1:8" ht="78.75">
      <c r="A84" s="532"/>
      <c r="B84" s="530"/>
      <c r="C84" s="532"/>
      <c r="D84" s="533"/>
      <c r="E84" s="1043" t="s">
        <v>38</v>
      </c>
      <c r="F84" s="1043">
        <v>1000</v>
      </c>
      <c r="G84" s="33">
        <v>1200</v>
      </c>
      <c r="H84" s="348" t="s">
        <v>82</v>
      </c>
    </row>
    <row r="85" spans="1:8" ht="78.75">
      <c r="A85" s="532"/>
      <c r="B85" s="530"/>
      <c r="C85" s="532"/>
      <c r="D85" s="528" t="s">
        <v>83</v>
      </c>
      <c r="E85" s="1043" t="s">
        <v>25</v>
      </c>
      <c r="F85" s="33">
        <v>2112</v>
      </c>
      <c r="G85" s="13">
        <v>2534.4</v>
      </c>
      <c r="H85" s="12" t="s">
        <v>84</v>
      </c>
    </row>
    <row r="86" spans="1:8" ht="78.75">
      <c r="A86" s="533"/>
      <c r="B86" s="539"/>
      <c r="C86" s="533"/>
      <c r="D86" s="528"/>
      <c r="E86" s="1043" t="s">
        <v>25</v>
      </c>
      <c r="F86" s="33">
        <v>3168</v>
      </c>
      <c r="G86" s="13">
        <v>3801.6</v>
      </c>
      <c r="H86" s="12" t="s">
        <v>85</v>
      </c>
    </row>
    <row r="87" spans="1:8" ht="15.75" customHeight="1">
      <c r="A87" s="525" t="s">
        <v>86</v>
      </c>
      <c r="B87" s="525"/>
      <c r="C87" s="847" t="s">
        <v>87</v>
      </c>
      <c r="D87" s="848"/>
      <c r="E87" s="848"/>
      <c r="F87" s="848"/>
      <c r="G87" s="848"/>
      <c r="H87" s="849"/>
    </row>
    <row r="88" spans="1:8" ht="15.75" customHeight="1">
      <c r="A88" s="1068">
        <v>9</v>
      </c>
      <c r="B88" s="838" t="s">
        <v>88</v>
      </c>
      <c r="C88" s="847" t="s">
        <v>89</v>
      </c>
      <c r="D88" s="848"/>
      <c r="E88" s="848"/>
      <c r="F88" s="848"/>
      <c r="G88" s="848"/>
      <c r="H88" s="849"/>
    </row>
    <row r="89" spans="1:8" ht="15.75" customHeight="1">
      <c r="A89" s="1069"/>
      <c r="B89" s="546"/>
      <c r="C89" s="528" t="s">
        <v>90</v>
      </c>
      <c r="D89" s="642" t="s">
        <v>91</v>
      </c>
      <c r="E89" s="86" t="s">
        <v>92</v>
      </c>
      <c r="F89" s="257">
        <v>1422</v>
      </c>
      <c r="G89" s="13">
        <v>1706.3999999999999</v>
      </c>
      <c r="H89" s="348"/>
    </row>
    <row r="90" spans="1:8" ht="15.75">
      <c r="A90" s="1069"/>
      <c r="B90" s="546"/>
      <c r="C90" s="528"/>
      <c r="D90" s="642"/>
      <c r="E90" s="86" t="s">
        <v>93</v>
      </c>
      <c r="F90" s="257">
        <v>2192</v>
      </c>
      <c r="G90" s="13">
        <v>2630.4</v>
      </c>
      <c r="H90" s="29" t="s">
        <v>62</v>
      </c>
    </row>
    <row r="91" spans="1:8" ht="15.75">
      <c r="A91" s="1069"/>
      <c r="B91" s="546"/>
      <c r="C91" s="642"/>
      <c r="D91" s="642"/>
      <c r="E91" s="86" t="s">
        <v>93</v>
      </c>
      <c r="F91" s="257">
        <v>2732</v>
      </c>
      <c r="G91" s="13">
        <v>3278.4</v>
      </c>
      <c r="H91" s="29" t="s">
        <v>63</v>
      </c>
    </row>
    <row r="92" spans="1:8" ht="31.5">
      <c r="A92" s="1069"/>
      <c r="B92" s="546"/>
      <c r="C92" s="642"/>
      <c r="D92" s="642"/>
      <c r="E92" s="86" t="s">
        <v>94</v>
      </c>
      <c r="F92" s="257">
        <v>2732</v>
      </c>
      <c r="G92" s="13">
        <v>3278.4</v>
      </c>
      <c r="H92" s="348"/>
    </row>
    <row r="93" spans="1:8" ht="15.75" customHeight="1">
      <c r="A93" s="1069"/>
      <c r="B93" s="546"/>
      <c r="C93" s="528" t="s">
        <v>90</v>
      </c>
      <c r="D93" s="642" t="s">
        <v>91</v>
      </c>
      <c r="E93" s="86" t="s">
        <v>92</v>
      </c>
      <c r="F93" s="257">
        <v>208</v>
      </c>
      <c r="G93" s="13">
        <v>249.6</v>
      </c>
      <c r="H93" s="348" t="s">
        <v>95</v>
      </c>
    </row>
    <row r="94" spans="1:8" ht="15.75">
      <c r="A94" s="1069"/>
      <c r="B94" s="546"/>
      <c r="C94" s="528"/>
      <c r="D94" s="642"/>
      <c r="E94" s="86" t="s">
        <v>93</v>
      </c>
      <c r="F94" s="257">
        <v>1644</v>
      </c>
      <c r="G94" s="13">
        <v>1972.8</v>
      </c>
      <c r="H94" s="29" t="s">
        <v>95</v>
      </c>
    </row>
    <row r="95" spans="1:8" ht="31.5">
      <c r="A95" s="1069"/>
      <c r="B95" s="546"/>
      <c r="C95" s="528"/>
      <c r="D95" s="642"/>
      <c r="E95" s="86" t="s">
        <v>94</v>
      </c>
      <c r="F95" s="257">
        <v>2049</v>
      </c>
      <c r="G95" s="13">
        <v>2458.7999999999997</v>
      </c>
      <c r="H95" s="29" t="s">
        <v>95</v>
      </c>
    </row>
    <row r="96" spans="1:8" ht="15.75">
      <c r="A96" s="1070"/>
      <c r="B96" s="1071"/>
      <c r="C96" s="847" t="s">
        <v>96</v>
      </c>
      <c r="D96" s="848"/>
      <c r="E96" s="848"/>
      <c r="F96" s="848"/>
      <c r="G96" s="848"/>
      <c r="H96" s="849"/>
    </row>
    <row r="97" spans="1:8" ht="15.75">
      <c r="A97" s="528">
        <v>10</v>
      </c>
      <c r="B97" s="525" t="s">
        <v>97</v>
      </c>
      <c r="C97" s="1060" t="s">
        <v>96</v>
      </c>
      <c r="D97" s="1042" t="s">
        <v>79</v>
      </c>
      <c r="E97" s="86" t="s">
        <v>93</v>
      </c>
      <c r="F97" s="257">
        <v>266</v>
      </c>
      <c r="G97" s="13">
        <v>319.2</v>
      </c>
      <c r="H97" s="599" t="s">
        <v>98</v>
      </c>
    </row>
    <row r="98" spans="1:8" ht="15.75">
      <c r="A98" s="528"/>
      <c r="B98" s="525"/>
      <c r="C98" s="1060"/>
      <c r="D98" s="1042" t="s">
        <v>79</v>
      </c>
      <c r="E98" s="86" t="s">
        <v>99</v>
      </c>
      <c r="F98" s="257">
        <v>393</v>
      </c>
      <c r="G98" s="13">
        <v>471.59999999999997</v>
      </c>
      <c r="H98" s="599"/>
    </row>
    <row r="99" spans="1:8" ht="15.75">
      <c r="A99" s="528"/>
      <c r="B99" s="525"/>
      <c r="C99" s="1060"/>
      <c r="D99" s="1042" t="s">
        <v>79</v>
      </c>
      <c r="E99" s="86" t="s">
        <v>100</v>
      </c>
      <c r="F99" s="257">
        <v>406</v>
      </c>
      <c r="G99" s="13">
        <v>487.2</v>
      </c>
      <c r="H99" s="599"/>
    </row>
    <row r="100" spans="1:8" ht="15.75" customHeight="1">
      <c r="A100" s="528"/>
      <c r="B100" s="525"/>
      <c r="C100" s="557" t="s">
        <v>96</v>
      </c>
      <c r="D100" s="1042" t="s">
        <v>79</v>
      </c>
      <c r="E100" s="86" t="s">
        <v>93</v>
      </c>
      <c r="F100" s="257">
        <v>79</v>
      </c>
      <c r="G100" s="13">
        <v>94.8</v>
      </c>
      <c r="H100" s="543" t="s">
        <v>101</v>
      </c>
    </row>
    <row r="101" spans="1:8" ht="15.75">
      <c r="A101" s="528"/>
      <c r="B101" s="525"/>
      <c r="C101" s="853"/>
      <c r="D101" s="1042" t="s">
        <v>79</v>
      </c>
      <c r="E101" s="86" t="s">
        <v>38</v>
      </c>
      <c r="F101" s="257">
        <v>109</v>
      </c>
      <c r="G101" s="13">
        <v>130.79999999999998</v>
      </c>
      <c r="H101" s="605"/>
    </row>
    <row r="102" spans="1:8" ht="15.75">
      <c r="A102" s="528"/>
      <c r="B102" s="525"/>
      <c r="C102" s="558"/>
      <c r="D102" s="1042" t="s">
        <v>79</v>
      </c>
      <c r="E102" s="86" t="s">
        <v>100</v>
      </c>
      <c r="F102" s="257">
        <v>111</v>
      </c>
      <c r="G102" s="13">
        <v>133.2</v>
      </c>
      <c r="H102" s="544"/>
    </row>
    <row r="103" spans="1:8" ht="15.75" customHeight="1">
      <c r="A103" s="528"/>
      <c r="B103" s="525"/>
      <c r="C103" s="557" t="s">
        <v>96</v>
      </c>
      <c r="D103" s="1042" t="s">
        <v>79</v>
      </c>
      <c r="E103" s="86" t="s">
        <v>92</v>
      </c>
      <c r="F103" s="257">
        <v>678</v>
      </c>
      <c r="G103" s="13">
        <v>813.6</v>
      </c>
      <c r="H103" s="952" t="s">
        <v>102</v>
      </c>
    </row>
    <row r="104" spans="1:8" ht="15.75">
      <c r="A104" s="528"/>
      <c r="B104" s="525"/>
      <c r="C104" s="853"/>
      <c r="D104" s="1042" t="s">
        <v>79</v>
      </c>
      <c r="E104" s="86" t="s">
        <v>93</v>
      </c>
      <c r="F104" s="257">
        <v>1924</v>
      </c>
      <c r="G104" s="13">
        <v>2308.7999999999997</v>
      </c>
      <c r="H104" s="954"/>
    </row>
    <row r="105" spans="1:8" ht="15.75">
      <c r="A105" s="528"/>
      <c r="B105" s="525"/>
      <c r="C105" s="853"/>
      <c r="D105" s="1042" t="s">
        <v>79</v>
      </c>
      <c r="E105" s="86" t="s">
        <v>38</v>
      </c>
      <c r="F105" s="257">
        <v>2643</v>
      </c>
      <c r="G105" s="13">
        <v>3171.6</v>
      </c>
      <c r="H105" s="954"/>
    </row>
    <row r="106" spans="1:8" ht="15.75">
      <c r="A106" s="528"/>
      <c r="B106" s="525"/>
      <c r="C106" s="558"/>
      <c r="D106" s="1042" t="s">
        <v>79</v>
      </c>
      <c r="E106" s="86" t="s">
        <v>100</v>
      </c>
      <c r="F106" s="257">
        <v>2717</v>
      </c>
      <c r="G106" s="13">
        <v>3260.4</v>
      </c>
      <c r="H106" s="624"/>
    </row>
    <row r="107" spans="1:8" ht="15.75">
      <c r="A107" s="961">
        <v>11</v>
      </c>
      <c r="B107" s="526" t="s">
        <v>103</v>
      </c>
      <c r="C107" s="974" t="s">
        <v>104</v>
      </c>
      <c r="D107" s="975"/>
      <c r="E107" s="975"/>
      <c r="F107" s="975"/>
      <c r="G107" s="975"/>
      <c r="H107" s="976"/>
    </row>
    <row r="108" spans="1:8" ht="31.5">
      <c r="A108" s="961"/>
      <c r="B108" s="526"/>
      <c r="C108" s="543" t="s">
        <v>105</v>
      </c>
      <c r="D108" s="19" t="s">
        <v>106</v>
      </c>
      <c r="E108" s="1043"/>
      <c r="F108" s="244">
        <v>603</v>
      </c>
      <c r="G108" s="257">
        <v>723.6</v>
      </c>
      <c r="H108" s="19" t="s">
        <v>107</v>
      </c>
    </row>
    <row r="109" spans="1:8" ht="31.5">
      <c r="A109" s="961"/>
      <c r="B109" s="526"/>
      <c r="C109" s="605"/>
      <c r="D109" s="19" t="s">
        <v>106</v>
      </c>
      <c r="E109" s="1043"/>
      <c r="F109" s="244">
        <v>779</v>
      </c>
      <c r="G109" s="257">
        <v>934.8</v>
      </c>
      <c r="H109" s="19" t="s">
        <v>108</v>
      </c>
    </row>
    <row r="110" spans="1:8" ht="31.5">
      <c r="A110" s="961"/>
      <c r="B110" s="526"/>
      <c r="C110" s="544"/>
      <c r="D110" s="19" t="s">
        <v>106</v>
      </c>
      <c r="E110" s="1043"/>
      <c r="F110" s="244">
        <v>458</v>
      </c>
      <c r="G110" s="257">
        <v>549.6</v>
      </c>
      <c r="H110" s="19" t="s">
        <v>109</v>
      </c>
    </row>
    <row r="111" spans="1:8" ht="15.75">
      <c r="A111" s="609">
        <v>12</v>
      </c>
      <c r="B111" s="529" t="s">
        <v>110</v>
      </c>
      <c r="C111" s="974" t="s">
        <v>111</v>
      </c>
      <c r="D111" s="975"/>
      <c r="E111" s="975"/>
      <c r="F111" s="975"/>
      <c r="G111" s="975"/>
      <c r="H111" s="976"/>
    </row>
    <row r="112" spans="1:8" ht="47.25">
      <c r="A112" s="611"/>
      <c r="B112" s="539"/>
      <c r="C112" s="37" t="s">
        <v>111</v>
      </c>
      <c r="D112" s="242" t="s">
        <v>21</v>
      </c>
      <c r="E112" s="1042" t="s">
        <v>93</v>
      </c>
      <c r="F112" s="244">
        <v>3724</v>
      </c>
      <c r="G112" s="257">
        <v>4468.8</v>
      </c>
      <c r="H112" s="1042" t="s">
        <v>112</v>
      </c>
    </row>
    <row r="113" spans="1:8" ht="15.75">
      <c r="A113" s="961">
        <v>13</v>
      </c>
      <c r="B113" s="526" t="s">
        <v>113</v>
      </c>
      <c r="C113" s="1060" t="s">
        <v>114</v>
      </c>
      <c r="D113" s="1060" t="s">
        <v>21</v>
      </c>
      <c r="E113" s="1043" t="s">
        <v>93</v>
      </c>
      <c r="F113" s="244">
        <v>2113</v>
      </c>
      <c r="G113" s="257">
        <v>2535.6</v>
      </c>
      <c r="H113" s="642" t="s">
        <v>115</v>
      </c>
    </row>
    <row r="114" spans="1:8" ht="31.5">
      <c r="A114" s="961"/>
      <c r="B114" s="526"/>
      <c r="C114" s="1060"/>
      <c r="D114" s="1060"/>
      <c r="E114" s="1043" t="s">
        <v>30</v>
      </c>
      <c r="F114" s="244">
        <v>2366</v>
      </c>
      <c r="G114" s="257">
        <v>2839.2</v>
      </c>
      <c r="H114" s="642"/>
    </row>
    <row r="115" spans="1:8" ht="15.75" customHeight="1">
      <c r="A115" s="658"/>
      <c r="B115" s="659"/>
      <c r="C115" s="551" t="s">
        <v>116</v>
      </c>
      <c r="D115" s="552"/>
      <c r="E115" s="552"/>
      <c r="F115" s="552"/>
      <c r="G115" s="552"/>
      <c r="H115" s="553"/>
    </row>
    <row r="116" spans="1:8" ht="31.5">
      <c r="A116" s="242">
        <v>14</v>
      </c>
      <c r="B116" s="11" t="s">
        <v>117</v>
      </c>
      <c r="C116" s="19" t="s">
        <v>118</v>
      </c>
      <c r="D116" s="19" t="s">
        <v>119</v>
      </c>
      <c r="E116" s="86"/>
      <c r="F116" s="13">
        <v>1610</v>
      </c>
      <c r="G116" s="257">
        <v>1932</v>
      </c>
      <c r="H116" s="348"/>
    </row>
    <row r="117" spans="1:8" ht="15.75">
      <c r="A117" s="243">
        <v>15</v>
      </c>
      <c r="B117" s="16" t="s">
        <v>120</v>
      </c>
      <c r="C117" s="18" t="s">
        <v>121</v>
      </c>
      <c r="D117" s="19" t="s">
        <v>21</v>
      </c>
      <c r="E117" s="86"/>
      <c r="F117" s="13">
        <v>1014</v>
      </c>
      <c r="G117" s="257">
        <v>1216.8</v>
      </c>
      <c r="H117" s="348" t="s">
        <v>122</v>
      </c>
    </row>
    <row r="118" spans="1:8" ht="15.75">
      <c r="A118" s="242">
        <v>16</v>
      </c>
      <c r="B118" s="11" t="s">
        <v>123</v>
      </c>
      <c r="C118" s="1042" t="s">
        <v>124</v>
      </c>
      <c r="D118" s="19" t="s">
        <v>21</v>
      </c>
      <c r="E118" s="86"/>
      <c r="F118" s="13">
        <v>873</v>
      </c>
      <c r="G118" s="257">
        <v>1047.6</v>
      </c>
      <c r="H118" s="348"/>
    </row>
    <row r="119" spans="1:8" ht="15.75">
      <c r="A119" s="609">
        <v>17</v>
      </c>
      <c r="B119" s="529" t="s">
        <v>125</v>
      </c>
      <c r="C119" s="551" t="s">
        <v>126</v>
      </c>
      <c r="D119" s="552"/>
      <c r="E119" s="552"/>
      <c r="F119" s="552"/>
      <c r="G119" s="552"/>
      <c r="H119" s="553"/>
    </row>
    <row r="120" spans="1:8" ht="15.75" customHeight="1">
      <c r="A120" s="610"/>
      <c r="B120" s="530"/>
      <c r="C120" s="543" t="s">
        <v>126</v>
      </c>
      <c r="D120" s="1060" t="s">
        <v>21</v>
      </c>
      <c r="E120" s="1043" t="s">
        <v>92</v>
      </c>
      <c r="F120" s="13">
        <v>1081</v>
      </c>
      <c r="G120" s="257">
        <v>1297.2</v>
      </c>
      <c r="H120" s="642" t="s">
        <v>127</v>
      </c>
    </row>
    <row r="121" spans="1:8" ht="15.75">
      <c r="A121" s="610"/>
      <c r="B121" s="530"/>
      <c r="C121" s="605"/>
      <c r="D121" s="1060"/>
      <c r="E121" s="1043" t="s">
        <v>93</v>
      </c>
      <c r="F121" s="13">
        <v>2072</v>
      </c>
      <c r="G121" s="257">
        <v>2486.4</v>
      </c>
      <c r="H121" s="642"/>
    </row>
    <row r="122" spans="1:8" ht="15.75">
      <c r="A122" s="610"/>
      <c r="B122" s="530"/>
      <c r="C122" s="605"/>
      <c r="D122" s="1060"/>
      <c r="E122" s="1043" t="s">
        <v>38</v>
      </c>
      <c r="F122" s="13">
        <v>3023</v>
      </c>
      <c r="G122" s="257">
        <v>3627.6</v>
      </c>
      <c r="H122" s="642"/>
    </row>
    <row r="123" spans="1:8" ht="15.75">
      <c r="A123" s="610"/>
      <c r="B123" s="530"/>
      <c r="C123" s="605"/>
      <c r="D123" s="1060"/>
      <c r="E123" s="1043" t="s">
        <v>100</v>
      </c>
      <c r="F123" s="13">
        <v>3109</v>
      </c>
      <c r="G123" s="257">
        <v>3730.7999999999997</v>
      </c>
      <c r="H123" s="642"/>
    </row>
    <row r="124" spans="1:8" ht="31.5">
      <c r="A124" s="610"/>
      <c r="B124" s="530"/>
      <c r="C124" s="605"/>
      <c r="D124" s="1060"/>
      <c r="E124" s="1043" t="s">
        <v>128</v>
      </c>
      <c r="F124" s="257">
        <v>1627</v>
      </c>
      <c r="G124" s="13">
        <v>1952.3999999999999</v>
      </c>
      <c r="H124" s="13" t="s">
        <v>129</v>
      </c>
    </row>
    <row r="125" spans="1:8" ht="15.75">
      <c r="A125" s="610"/>
      <c r="B125" s="530"/>
      <c r="C125" s="605"/>
      <c r="D125" s="1060"/>
      <c r="E125" s="1043" t="s">
        <v>93</v>
      </c>
      <c r="F125" s="257">
        <v>1101</v>
      </c>
      <c r="G125" s="13">
        <v>1321.2</v>
      </c>
      <c r="H125" s="12" t="s">
        <v>130</v>
      </c>
    </row>
    <row r="126" spans="1:8" ht="78.75">
      <c r="A126" s="611"/>
      <c r="B126" s="539"/>
      <c r="C126" s="544"/>
      <c r="D126" s="1042" t="s">
        <v>119</v>
      </c>
      <c r="E126" s="1042"/>
      <c r="F126" s="854" t="s">
        <v>131</v>
      </c>
      <c r="G126" s="855"/>
      <c r="H126" s="1042" t="s">
        <v>132</v>
      </c>
    </row>
    <row r="127" spans="1:8" ht="31.5">
      <c r="A127" s="1061">
        <v>18</v>
      </c>
      <c r="B127" s="39" t="s">
        <v>133</v>
      </c>
      <c r="C127" s="40" t="s">
        <v>134</v>
      </c>
      <c r="D127" s="1042" t="s">
        <v>106</v>
      </c>
      <c r="E127" s="325" t="s">
        <v>135</v>
      </c>
      <c r="F127" s="319">
        <v>5020</v>
      </c>
      <c r="G127" s="320">
        <v>6024</v>
      </c>
      <c r="H127" s="324" t="s">
        <v>729</v>
      </c>
    </row>
    <row r="128" spans="1:8" ht="15.75">
      <c r="A128" s="1072" t="s">
        <v>136</v>
      </c>
      <c r="B128" s="1073"/>
      <c r="C128" s="551" t="s">
        <v>137</v>
      </c>
      <c r="D128" s="552"/>
      <c r="E128" s="552"/>
      <c r="F128" s="552"/>
      <c r="G128" s="552"/>
      <c r="H128" s="553"/>
    </row>
    <row r="129" spans="1:8" ht="15.75" customHeight="1">
      <c r="A129" s="41" t="s">
        <v>138</v>
      </c>
      <c r="B129" s="16" t="s">
        <v>139</v>
      </c>
      <c r="C129" s="18" t="s">
        <v>140</v>
      </c>
      <c r="D129" s="1042" t="s">
        <v>141</v>
      </c>
      <c r="E129" s="1042"/>
      <c r="F129" s="854" t="s">
        <v>23</v>
      </c>
      <c r="G129" s="855"/>
      <c r="H129" s="18" t="s">
        <v>142</v>
      </c>
    </row>
    <row r="130" spans="1:8" ht="15.75" customHeight="1">
      <c r="A130" s="961">
        <v>20</v>
      </c>
      <c r="B130" s="526" t="s">
        <v>143</v>
      </c>
      <c r="C130" s="642" t="s">
        <v>144</v>
      </c>
      <c r="D130" s="1060" t="s">
        <v>21</v>
      </c>
      <c r="E130" s="1043" t="s">
        <v>22</v>
      </c>
      <c r="F130" s="621" t="s">
        <v>23</v>
      </c>
      <c r="G130" s="622"/>
      <c r="H130" s="1042"/>
    </row>
    <row r="131" spans="1:8" ht="31.5">
      <c r="A131" s="961"/>
      <c r="B131" s="526"/>
      <c r="C131" s="642"/>
      <c r="D131" s="1060"/>
      <c r="E131" s="1043" t="s">
        <v>30</v>
      </c>
      <c r="F131" s="1062"/>
      <c r="G131" s="1063"/>
      <c r="H131" s="1042"/>
    </row>
    <row r="132" spans="1:8" ht="31.5">
      <c r="A132" s="242">
        <v>21</v>
      </c>
      <c r="B132" s="11" t="s">
        <v>145</v>
      </c>
      <c r="C132" s="1042" t="s">
        <v>146</v>
      </c>
      <c r="D132" s="19" t="s">
        <v>25</v>
      </c>
      <c r="E132" s="1043"/>
      <c r="F132" s="598" t="s">
        <v>23</v>
      </c>
      <c r="G132" s="1064"/>
      <c r="H132" s="1043"/>
    </row>
    <row r="133" spans="1:8" ht="15.75" customHeight="1">
      <c r="A133" s="551" t="s">
        <v>147</v>
      </c>
      <c r="B133" s="552"/>
      <c r="C133" s="552"/>
      <c r="D133" s="552"/>
      <c r="E133" s="552"/>
      <c r="F133" s="552"/>
      <c r="G133" s="552"/>
      <c r="H133" s="553"/>
    </row>
    <row r="134" spans="1:8" ht="31.5">
      <c r="A134" s="609">
        <v>22</v>
      </c>
      <c r="B134" s="529" t="s">
        <v>148</v>
      </c>
      <c r="C134" s="543" t="s">
        <v>149</v>
      </c>
      <c r="D134" s="1042" t="s">
        <v>21</v>
      </c>
      <c r="E134" s="1042" t="s">
        <v>150</v>
      </c>
      <c r="F134" s="854" t="s">
        <v>131</v>
      </c>
      <c r="G134" s="855"/>
      <c r="H134" s="1042" t="s">
        <v>151</v>
      </c>
    </row>
    <row r="135" spans="1:8" ht="31.5">
      <c r="A135" s="610"/>
      <c r="B135" s="530"/>
      <c r="C135" s="605"/>
      <c r="D135" s="1042" t="s">
        <v>106</v>
      </c>
      <c r="E135" s="1042"/>
      <c r="F135" s="244">
        <v>212</v>
      </c>
      <c r="G135" s="257">
        <v>254.39999999999998</v>
      </c>
      <c r="H135" s="21" t="s">
        <v>152</v>
      </c>
    </row>
    <row r="136" spans="1:8" ht="31.5">
      <c r="A136" s="610"/>
      <c r="B136" s="530"/>
      <c r="C136" s="605"/>
      <c r="D136" s="1042" t="s">
        <v>21</v>
      </c>
      <c r="E136" s="1043" t="s">
        <v>22</v>
      </c>
      <c r="F136" s="244">
        <v>9756</v>
      </c>
      <c r="G136" s="257">
        <v>11707.199999999999</v>
      </c>
      <c r="H136" s="21" t="s">
        <v>153</v>
      </c>
    </row>
    <row r="137" spans="1:8" ht="31.5">
      <c r="A137" s="611"/>
      <c r="B137" s="539"/>
      <c r="C137" s="544"/>
      <c r="D137" s="19" t="s">
        <v>106</v>
      </c>
      <c r="E137" s="1043" t="s">
        <v>22</v>
      </c>
      <c r="F137" s="244">
        <v>5577</v>
      </c>
      <c r="G137" s="257">
        <v>6692.4</v>
      </c>
      <c r="H137" s="21" t="s">
        <v>154</v>
      </c>
    </row>
    <row r="138" spans="1:8" ht="31.5">
      <c r="A138" s="1042">
        <v>23</v>
      </c>
      <c r="B138" s="11" t="s">
        <v>155</v>
      </c>
      <c r="C138" s="1042" t="s">
        <v>156</v>
      </c>
      <c r="D138" s="1042" t="s">
        <v>119</v>
      </c>
      <c r="E138" s="1042"/>
      <c r="F138" s="33">
        <v>2181.91</v>
      </c>
      <c r="G138" s="257">
        <v>2618.292</v>
      </c>
      <c r="H138" s="1042"/>
    </row>
    <row r="139" spans="1:8" ht="15.75">
      <c r="A139" s="1074" t="s">
        <v>157</v>
      </c>
      <c r="B139" s="1074"/>
      <c r="C139" s="987" t="s">
        <v>158</v>
      </c>
      <c r="D139" s="988"/>
      <c r="E139" s="988"/>
      <c r="F139" s="988"/>
      <c r="G139" s="988"/>
      <c r="H139" s="986"/>
    </row>
    <row r="140" spans="1:8" ht="15.75" customHeight="1">
      <c r="A140" s="961">
        <v>24</v>
      </c>
      <c r="B140" s="526" t="s">
        <v>159</v>
      </c>
      <c r="C140" s="961" t="s">
        <v>160</v>
      </c>
      <c r="D140" s="528" t="s">
        <v>161</v>
      </c>
      <c r="E140" s="86" t="s">
        <v>22</v>
      </c>
      <c r="F140" s="13">
        <v>1317</v>
      </c>
      <c r="G140" s="257">
        <v>1580.3999999999999</v>
      </c>
      <c r="H140" s="1071" t="s">
        <v>162</v>
      </c>
    </row>
    <row r="141" spans="1:8" ht="15.75">
      <c r="A141" s="961"/>
      <c r="B141" s="526"/>
      <c r="C141" s="961"/>
      <c r="D141" s="528"/>
      <c r="E141" s="86" t="s">
        <v>38</v>
      </c>
      <c r="F141" s="13">
        <v>1360</v>
      </c>
      <c r="G141" s="257">
        <v>1632</v>
      </c>
      <c r="H141" s="1071"/>
    </row>
    <row r="142" spans="1:8" ht="94.5">
      <c r="A142" s="242">
        <v>25</v>
      </c>
      <c r="B142" s="11" t="s">
        <v>163</v>
      </c>
      <c r="C142" s="1042" t="s">
        <v>164</v>
      </c>
      <c r="D142" s="1042" t="s">
        <v>161</v>
      </c>
      <c r="E142" s="1043" t="s">
        <v>165</v>
      </c>
      <c r="F142" s="13">
        <v>326</v>
      </c>
      <c r="G142" s="257">
        <v>391.2</v>
      </c>
      <c r="H142" s="12" t="s">
        <v>750</v>
      </c>
    </row>
    <row r="143" spans="1:8" ht="15.75">
      <c r="A143" s="42"/>
      <c r="B143" s="43"/>
      <c r="C143" s="44"/>
      <c r="D143" s="44"/>
      <c r="E143" s="1046"/>
      <c r="F143" s="46"/>
      <c r="G143" s="47"/>
      <c r="H143" s="48"/>
    </row>
    <row r="144" spans="1:8" ht="15.75">
      <c r="A144" s="49" t="s">
        <v>166</v>
      </c>
      <c r="B144" s="43"/>
      <c r="C144" s="42"/>
      <c r="D144" s="42"/>
      <c r="E144" s="1046"/>
      <c r="F144" s="46"/>
      <c r="G144" s="47"/>
      <c r="H144" s="48"/>
    </row>
    <row r="145" spans="1:8" ht="15.75">
      <c r="A145" s="42"/>
      <c r="B145" s="43"/>
      <c r="C145" s="42"/>
      <c r="D145" s="42"/>
      <c r="E145" s="1046"/>
      <c r="F145" s="46"/>
      <c r="G145" s="47"/>
      <c r="H145" s="48"/>
    </row>
    <row r="146" spans="1:8" ht="15.75">
      <c r="A146" s="50" t="s">
        <v>167</v>
      </c>
      <c r="B146" s="2"/>
      <c r="C146" s="1040"/>
      <c r="D146" s="1"/>
      <c r="E146" s="229" t="s">
        <v>168</v>
      </c>
      <c r="F146" s="3"/>
      <c r="G146" s="4"/>
      <c r="H146" s="1"/>
    </row>
    <row r="147" spans="1:8" ht="15.75">
      <c r="A147" s="50"/>
      <c r="B147" s="2"/>
      <c r="C147" s="1040"/>
      <c r="D147" s="1"/>
      <c r="E147" s="229"/>
      <c r="F147" s="3"/>
      <c r="G147" s="4"/>
      <c r="H147" s="1"/>
    </row>
    <row r="148" spans="1:8" ht="15.75">
      <c r="A148" s="50" t="s">
        <v>169</v>
      </c>
      <c r="B148" s="2"/>
      <c r="C148" s="1040"/>
      <c r="D148" s="1"/>
      <c r="E148" s="229" t="s">
        <v>170</v>
      </c>
      <c r="F148" s="3"/>
      <c r="G148" s="4"/>
      <c r="H148" s="1"/>
    </row>
    <row r="149" spans="1:8" ht="15.75">
      <c r="A149" s="50"/>
      <c r="B149" s="2"/>
      <c r="C149" s="1040"/>
      <c r="D149" s="1"/>
      <c r="E149" s="229"/>
      <c r="F149" s="3"/>
      <c r="G149" s="4"/>
      <c r="H149" s="1"/>
    </row>
    <row r="150" spans="1:8" ht="15.75">
      <c r="A150" s="50" t="s">
        <v>171</v>
      </c>
      <c r="B150" s="2"/>
      <c r="C150" s="1040"/>
      <c r="D150" s="1"/>
      <c r="E150" s="229" t="s">
        <v>172</v>
      </c>
      <c r="F150" s="3"/>
      <c r="G150" s="4"/>
      <c r="H150" s="1"/>
    </row>
    <row r="151" spans="1:8" ht="15.75">
      <c r="A151" s="50"/>
      <c r="B151" s="2"/>
      <c r="C151" s="1040"/>
      <c r="D151" s="1"/>
      <c r="E151" s="229"/>
      <c r="F151" s="3"/>
      <c r="G151" s="4"/>
      <c r="H151" s="1"/>
    </row>
    <row r="152" spans="1:8" ht="15.75">
      <c r="A152" s="50" t="s">
        <v>173</v>
      </c>
      <c r="B152" s="2"/>
      <c r="C152" s="1040"/>
      <c r="D152" s="52"/>
      <c r="E152" s="229" t="s">
        <v>174</v>
      </c>
      <c r="F152" s="3"/>
      <c r="G152" s="4"/>
      <c r="H152" s="1"/>
    </row>
  </sheetData>
  <sheetProtection/>
  <mergeCells count="161">
    <mergeCell ref="A140:A141"/>
    <mergeCell ref="B140:B141"/>
    <mergeCell ref="C140:C141"/>
    <mergeCell ref="D140:D141"/>
    <mergeCell ref="H140:H141"/>
    <mergeCell ref="A133:H133"/>
    <mergeCell ref="F134:G134"/>
    <mergeCell ref="A26:A52"/>
    <mergeCell ref="B26:B52"/>
    <mergeCell ref="A134:A137"/>
    <mergeCell ref="B134:B137"/>
    <mergeCell ref="C134:C137"/>
    <mergeCell ref="A139:B139"/>
    <mergeCell ref="C139:H139"/>
    <mergeCell ref="A128:B128"/>
    <mergeCell ref="C128:H128"/>
    <mergeCell ref="F129:G129"/>
    <mergeCell ref="A130:A131"/>
    <mergeCell ref="B130:B131"/>
    <mergeCell ref="C130:C131"/>
    <mergeCell ref="D130:D131"/>
    <mergeCell ref="F130:G131"/>
    <mergeCell ref="A119:A126"/>
    <mergeCell ref="B119:B126"/>
    <mergeCell ref="F132:G132"/>
    <mergeCell ref="C51:C52"/>
    <mergeCell ref="D51:D52"/>
    <mergeCell ref="F59:G59"/>
    <mergeCell ref="F60:G60"/>
    <mergeCell ref="F76:G76"/>
    <mergeCell ref="F77:G77"/>
    <mergeCell ref="A72:H72"/>
    <mergeCell ref="A73:B73"/>
    <mergeCell ref="C73:H73"/>
    <mergeCell ref="D55:D56"/>
    <mergeCell ref="A58:B58"/>
    <mergeCell ref="F74:G74"/>
    <mergeCell ref="F75:G75"/>
    <mergeCell ref="A59:A61"/>
    <mergeCell ref="B59:B61"/>
    <mergeCell ref="A62:B62"/>
    <mergeCell ref="C62:H62"/>
    <mergeCell ref="A63:A71"/>
    <mergeCell ref="B63:B71"/>
    <mergeCell ref="C63:C71"/>
    <mergeCell ref="D63:D71"/>
    <mergeCell ref="A74:A76"/>
    <mergeCell ref="B74:B76"/>
    <mergeCell ref="D49:D50"/>
    <mergeCell ref="C33:C34"/>
    <mergeCell ref="D33:D34"/>
    <mergeCell ref="C41:C42"/>
    <mergeCell ref="D41:D42"/>
    <mergeCell ref="C43:C44"/>
    <mergeCell ref="D43:D44"/>
    <mergeCell ref="C119:H119"/>
    <mergeCell ref="C120:C126"/>
    <mergeCell ref="D120:D125"/>
    <mergeCell ref="H120:H123"/>
    <mergeCell ref="F126:G126"/>
    <mergeCell ref="C107:H107"/>
    <mergeCell ref="C108:C110"/>
    <mergeCell ref="A111:A112"/>
    <mergeCell ref="B111:B112"/>
    <mergeCell ref="C111:H111"/>
    <mergeCell ref="A107:A110"/>
    <mergeCell ref="B107:B110"/>
    <mergeCell ref="A113:A114"/>
    <mergeCell ref="B113:B114"/>
    <mergeCell ref="C113:C114"/>
    <mergeCell ref="D113:D114"/>
    <mergeCell ref="H113:H114"/>
    <mergeCell ref="A115:B115"/>
    <mergeCell ref="C115:H115"/>
    <mergeCell ref="C35:C36"/>
    <mergeCell ref="D35:D36"/>
    <mergeCell ref="C37:C38"/>
    <mergeCell ref="H27:H54"/>
    <mergeCell ref="C29:C30"/>
    <mergeCell ref="D29:D30"/>
    <mergeCell ref="C31:C32"/>
    <mergeCell ref="D31:D32"/>
    <mergeCell ref="F61:G61"/>
    <mergeCell ref="H55:H56"/>
    <mergeCell ref="C58:H58"/>
    <mergeCell ref="D37:D38"/>
    <mergeCell ref="C39:C40"/>
    <mergeCell ref="D39:D40"/>
    <mergeCell ref="C53:C54"/>
    <mergeCell ref="D53:D54"/>
    <mergeCell ref="C55:C56"/>
    <mergeCell ref="C59:C61"/>
    <mergeCell ref="A19:B19"/>
    <mergeCell ref="C19:H19"/>
    <mergeCell ref="A20:A22"/>
    <mergeCell ref="B20:B22"/>
    <mergeCell ref="C20:C22"/>
    <mergeCell ref="D20:D21"/>
    <mergeCell ref="F20:G20"/>
    <mergeCell ref="H20:H22"/>
    <mergeCell ref="H23:H25"/>
    <mergeCell ref="F21:G21"/>
    <mergeCell ref="F22:G22"/>
    <mergeCell ref="F23:G23"/>
    <mergeCell ref="F24:G24"/>
    <mergeCell ref="A23:A25"/>
    <mergeCell ref="B23:B25"/>
    <mergeCell ref="C23:C25"/>
    <mergeCell ref="D23:D24"/>
    <mergeCell ref="F25:G25"/>
    <mergeCell ref="C26:H26"/>
    <mergeCell ref="C27:C28"/>
    <mergeCell ref="D27:D28"/>
    <mergeCell ref="D59:D60"/>
    <mergeCell ref="C45:C46"/>
    <mergeCell ref="D45:D46"/>
    <mergeCell ref="C47:C48"/>
    <mergeCell ref="D47:D48"/>
    <mergeCell ref="C49:C50"/>
    <mergeCell ref="C74:C76"/>
    <mergeCell ref="D74:D75"/>
    <mergeCell ref="A77:A86"/>
    <mergeCell ref="B77:B86"/>
    <mergeCell ref="C77:C86"/>
    <mergeCell ref="F78:G78"/>
    <mergeCell ref="D79:D84"/>
    <mergeCell ref="D85:D86"/>
    <mergeCell ref="A87:B87"/>
    <mergeCell ref="A88:A95"/>
    <mergeCell ref="B88:B95"/>
    <mergeCell ref="C88:H88"/>
    <mergeCell ref="C89:C92"/>
    <mergeCell ref="D89:D92"/>
    <mergeCell ref="C93:C95"/>
    <mergeCell ref="D93:D95"/>
    <mergeCell ref="C87:H87"/>
    <mergeCell ref="A96:B96"/>
    <mergeCell ref="C96:H96"/>
    <mergeCell ref="A14:H14"/>
    <mergeCell ref="A15:B15"/>
    <mergeCell ref="C15:H15"/>
    <mergeCell ref="A16:A18"/>
    <mergeCell ref="B16:B18"/>
    <mergeCell ref="C16:C18"/>
    <mergeCell ref="D16:D17"/>
    <mergeCell ref="F16:G16"/>
    <mergeCell ref="H16:H18"/>
    <mergeCell ref="F17:G17"/>
    <mergeCell ref="F18:G18"/>
    <mergeCell ref="A97:A106"/>
    <mergeCell ref="B97:B106"/>
    <mergeCell ref="C97:C99"/>
    <mergeCell ref="C100:C102"/>
    <mergeCell ref="C103:C106"/>
    <mergeCell ref="A8:H8"/>
    <mergeCell ref="A9:H9"/>
    <mergeCell ref="A10:H10"/>
    <mergeCell ref="A11:H11"/>
    <mergeCell ref="H97:H99"/>
    <mergeCell ref="H100:H102"/>
    <mergeCell ref="H103:H106"/>
  </mergeCells>
  <printOptions/>
  <pageMargins left="0.11811023622047245" right="0.11811023622047245" top="0.15748031496062992" bottom="0.15748031496062992" header="0.31496062992125984" footer="0.31496062992125984"/>
  <pageSetup fitToHeight="5" fitToWidth="1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5"/>
  <sheetViews>
    <sheetView zoomScale="80" zoomScaleNormal="80" zoomScalePageLayoutView="0" workbookViewId="0" topLeftCell="A1">
      <selection activeCell="H4" sqref="H4"/>
    </sheetView>
  </sheetViews>
  <sheetFormatPr defaultColWidth="9.140625" defaultRowHeight="15"/>
  <cols>
    <col min="1" max="1" width="4.8515625" style="108" customWidth="1"/>
    <col min="2" max="2" width="12.421875" style="108" customWidth="1"/>
    <col min="3" max="3" width="62.8515625" style="108" customWidth="1"/>
    <col min="4" max="4" width="13.28125" style="108" customWidth="1"/>
    <col min="5" max="5" width="15.8515625" style="108" customWidth="1"/>
    <col min="6" max="7" width="13.00390625" style="108" customWidth="1"/>
    <col min="8" max="8" width="70.8515625" style="108" customWidth="1"/>
    <col min="9" max="16384" width="9.140625" style="108" customWidth="1"/>
  </cols>
  <sheetData>
    <row r="1" spans="1:8" ht="15.75">
      <c r="A1" s="1039"/>
      <c r="B1" s="1055"/>
      <c r="C1" s="1039"/>
      <c r="D1" s="499"/>
      <c r="E1" s="499"/>
      <c r="F1" s="1039"/>
      <c r="G1" s="1047"/>
      <c r="H1" s="1048"/>
    </row>
    <row r="2" spans="1:8" ht="15.75">
      <c r="A2" s="1039"/>
      <c r="B2" s="1039"/>
      <c r="C2" s="1039"/>
      <c r="D2" s="499"/>
      <c r="E2" s="499"/>
      <c r="F2" s="1039"/>
      <c r="H2" s="500" t="s">
        <v>0</v>
      </c>
    </row>
    <row r="3" spans="1:8" ht="15.75">
      <c r="A3" s="1039"/>
      <c r="B3" s="1039"/>
      <c r="C3" s="1039"/>
      <c r="D3" s="499"/>
      <c r="E3" s="501"/>
      <c r="F3" s="1039"/>
      <c r="H3" s="502" t="s">
        <v>1</v>
      </c>
    </row>
    <row r="4" spans="1:8" ht="15.75">
      <c r="A4" s="1039"/>
      <c r="B4" s="1039"/>
      <c r="C4" s="1039"/>
      <c r="D4" s="499"/>
      <c r="E4" s="502"/>
      <c r="F4" s="1039"/>
      <c r="H4" s="503" t="s">
        <v>2</v>
      </c>
    </row>
    <row r="5" spans="1:8" ht="15.75">
      <c r="A5" s="1039"/>
      <c r="B5" s="1039"/>
      <c r="C5" s="1039"/>
      <c r="D5" s="499"/>
      <c r="E5" s="504"/>
      <c r="F5" s="504"/>
      <c r="H5" s="505"/>
    </row>
    <row r="6" spans="1:8" ht="15.75">
      <c r="A6" s="1039"/>
      <c r="B6" s="1039"/>
      <c r="C6" s="1039"/>
      <c r="D6" s="499"/>
      <c r="E6" s="505"/>
      <c r="F6" s="506"/>
      <c r="H6" s="507" t="s">
        <v>690</v>
      </c>
    </row>
    <row r="7" spans="1:8" ht="15.75">
      <c r="A7" s="1039"/>
      <c r="B7" s="1039"/>
      <c r="C7" s="1039"/>
      <c r="D7" s="499"/>
      <c r="E7" s="1039"/>
      <c r="F7" s="508"/>
      <c r="G7" s="509"/>
      <c r="H7" s="510"/>
    </row>
    <row r="8" spans="1:8" ht="15.75">
      <c r="A8" s="583" t="s">
        <v>4</v>
      </c>
      <c r="B8" s="583"/>
      <c r="C8" s="583"/>
      <c r="D8" s="583"/>
      <c r="E8" s="583"/>
      <c r="F8" s="583"/>
      <c r="G8" s="583"/>
      <c r="H8" s="583"/>
    </row>
    <row r="9" spans="1:8" ht="15.75">
      <c r="A9" s="583" t="s">
        <v>5</v>
      </c>
      <c r="B9" s="583"/>
      <c r="C9" s="583"/>
      <c r="D9" s="583"/>
      <c r="E9" s="583"/>
      <c r="F9" s="583"/>
      <c r="G9" s="583"/>
      <c r="H9" s="583"/>
    </row>
    <row r="10" spans="1:8" ht="15.75">
      <c r="A10" s="583" t="s">
        <v>573</v>
      </c>
      <c r="B10" s="583"/>
      <c r="C10" s="583"/>
      <c r="D10" s="583"/>
      <c r="E10" s="583"/>
      <c r="F10" s="583"/>
      <c r="G10" s="583"/>
      <c r="H10" s="583"/>
    </row>
    <row r="11" spans="1:8" ht="15.75" customHeight="1">
      <c r="A11" s="597" t="s">
        <v>749</v>
      </c>
      <c r="B11" s="597"/>
      <c r="C11" s="597"/>
      <c r="D11" s="597"/>
      <c r="E11" s="597"/>
      <c r="F11" s="597"/>
      <c r="G11" s="597"/>
      <c r="H11" s="597"/>
    </row>
    <row r="12" spans="1:8" ht="15.75">
      <c r="A12" s="511"/>
      <c r="B12" s="511"/>
      <c r="C12" s="512"/>
      <c r="D12" s="511"/>
      <c r="E12" s="511"/>
      <c r="F12" s="511"/>
      <c r="G12" s="511"/>
      <c r="H12" s="511"/>
    </row>
    <row r="13" spans="1:8" ht="47.25">
      <c r="A13" s="1075" t="s">
        <v>8</v>
      </c>
      <c r="B13" s="1076" t="s">
        <v>9</v>
      </c>
      <c r="C13" s="1076" t="s">
        <v>10</v>
      </c>
      <c r="D13" s="1076" t="s">
        <v>11</v>
      </c>
      <c r="E13" s="1076" t="s">
        <v>12</v>
      </c>
      <c r="F13" s="1077" t="s">
        <v>13</v>
      </c>
      <c r="G13" s="1077" t="s">
        <v>14</v>
      </c>
      <c r="H13" s="1078" t="s">
        <v>15</v>
      </c>
    </row>
    <row r="14" spans="1:8" ht="15.75" customHeight="1">
      <c r="A14" s="1157" t="s">
        <v>574</v>
      </c>
      <c r="B14" s="1158"/>
      <c r="C14" s="1158"/>
      <c r="D14" s="1158"/>
      <c r="E14" s="1158"/>
      <c r="F14" s="1158"/>
      <c r="G14" s="1158"/>
      <c r="H14" s="1159"/>
    </row>
    <row r="15" spans="1:8" ht="15.75" customHeight="1">
      <c r="A15" s="1160"/>
      <c r="B15" s="1161" t="s">
        <v>17</v>
      </c>
      <c r="C15" s="1162" t="s">
        <v>575</v>
      </c>
      <c r="D15" s="1163"/>
      <c r="E15" s="1163"/>
      <c r="F15" s="1163"/>
      <c r="G15" s="1163"/>
      <c r="H15" s="1164"/>
    </row>
    <row r="16" spans="1:8" ht="15.75" customHeight="1">
      <c r="A16" s="1082">
        <v>1</v>
      </c>
      <c r="B16" s="1083" t="s">
        <v>19</v>
      </c>
      <c r="C16" s="1083" t="s">
        <v>575</v>
      </c>
      <c r="D16" s="1083" t="s">
        <v>21</v>
      </c>
      <c r="E16" s="1052" t="s">
        <v>22</v>
      </c>
      <c r="F16" s="1080" t="s">
        <v>76</v>
      </c>
      <c r="G16" s="1084"/>
      <c r="H16" s="1085" t="s">
        <v>511</v>
      </c>
    </row>
    <row r="17" spans="1:8" ht="15.75">
      <c r="A17" s="1086"/>
      <c r="B17" s="1087"/>
      <c r="C17" s="1087"/>
      <c r="D17" s="1088"/>
      <c r="E17" s="1052" t="s">
        <v>30</v>
      </c>
      <c r="F17" s="1080" t="s">
        <v>76</v>
      </c>
      <c r="G17" s="1084"/>
      <c r="H17" s="1089"/>
    </row>
    <row r="18" spans="1:8" ht="15.75" customHeight="1">
      <c r="A18" s="1090"/>
      <c r="B18" s="1088"/>
      <c r="C18" s="1088"/>
      <c r="D18" s="1052" t="s">
        <v>25</v>
      </c>
      <c r="E18" s="1052"/>
      <c r="F18" s="1080" t="s">
        <v>76</v>
      </c>
      <c r="G18" s="1084"/>
      <c r="H18" s="1091"/>
    </row>
    <row r="19" spans="1:8" ht="15.75" customHeight="1">
      <c r="A19" s="1082">
        <v>2</v>
      </c>
      <c r="B19" s="1083" t="s">
        <v>28</v>
      </c>
      <c r="C19" s="1083" t="s">
        <v>576</v>
      </c>
      <c r="D19" s="1083" t="s">
        <v>21</v>
      </c>
      <c r="E19" s="1052" t="s">
        <v>22</v>
      </c>
      <c r="F19" s="1080" t="s">
        <v>76</v>
      </c>
      <c r="G19" s="1084"/>
      <c r="H19" s="1085" t="s">
        <v>181</v>
      </c>
    </row>
    <row r="20" spans="1:8" ht="15.75">
      <c r="A20" s="1086"/>
      <c r="B20" s="1087"/>
      <c r="C20" s="1087"/>
      <c r="D20" s="1088"/>
      <c r="E20" s="1052" t="s">
        <v>30</v>
      </c>
      <c r="F20" s="1080" t="s">
        <v>76</v>
      </c>
      <c r="G20" s="1084"/>
      <c r="H20" s="1089"/>
    </row>
    <row r="21" spans="1:8" ht="15.75" customHeight="1">
      <c r="A21" s="1090"/>
      <c r="B21" s="1088"/>
      <c r="C21" s="1088"/>
      <c r="D21" s="1052" t="s">
        <v>25</v>
      </c>
      <c r="E21" s="1052"/>
      <c r="F21" s="1080" t="s">
        <v>76</v>
      </c>
      <c r="G21" s="1084"/>
      <c r="H21" s="1091"/>
    </row>
    <row r="22" spans="1:8" ht="15.75" customHeight="1">
      <c r="A22" s="1082">
        <v>3</v>
      </c>
      <c r="B22" s="1083" t="s">
        <v>31</v>
      </c>
      <c r="C22" s="1083" t="s">
        <v>513</v>
      </c>
      <c r="D22" s="1083" t="s">
        <v>21</v>
      </c>
      <c r="E22" s="1052" t="s">
        <v>22</v>
      </c>
      <c r="F22" s="1080" t="s">
        <v>76</v>
      </c>
      <c r="G22" s="1084"/>
      <c r="H22" s="1085" t="s">
        <v>181</v>
      </c>
    </row>
    <row r="23" spans="1:8" ht="15.75">
      <c r="A23" s="1086"/>
      <c r="B23" s="1087"/>
      <c r="C23" s="1087"/>
      <c r="D23" s="1088"/>
      <c r="E23" s="1052" t="s">
        <v>30</v>
      </c>
      <c r="F23" s="1080" t="s">
        <v>76</v>
      </c>
      <c r="G23" s="1084"/>
      <c r="H23" s="1089"/>
    </row>
    <row r="24" spans="1:8" ht="15.75" customHeight="1">
      <c r="A24" s="1090"/>
      <c r="B24" s="1088"/>
      <c r="C24" s="1088"/>
      <c r="D24" s="1052" t="s">
        <v>25</v>
      </c>
      <c r="E24" s="1092"/>
      <c r="F24" s="1080" t="s">
        <v>76</v>
      </c>
      <c r="G24" s="1084"/>
      <c r="H24" s="1091"/>
    </row>
    <row r="25" spans="1:8" ht="15.75" customHeight="1">
      <c r="A25" s="1082">
        <v>4</v>
      </c>
      <c r="B25" s="1083" t="s">
        <v>577</v>
      </c>
      <c r="C25" s="1162" t="s">
        <v>578</v>
      </c>
      <c r="D25" s="1165"/>
      <c r="E25" s="1165"/>
      <c r="F25" s="1165"/>
      <c r="G25" s="1165"/>
      <c r="H25" s="1164"/>
    </row>
    <row r="26" spans="1:8" ht="15.75">
      <c r="A26" s="1086"/>
      <c r="B26" s="1087"/>
      <c r="C26" s="1093" t="s">
        <v>579</v>
      </c>
      <c r="D26" s="574" t="s">
        <v>21</v>
      </c>
      <c r="E26" s="1044" t="s">
        <v>22</v>
      </c>
      <c r="F26" s="1045">
        <v>4634</v>
      </c>
      <c r="G26" s="1045">
        <v>5560.8</v>
      </c>
      <c r="H26" s="1094" t="s">
        <v>580</v>
      </c>
    </row>
    <row r="27" spans="1:8" ht="15.75" customHeight="1">
      <c r="A27" s="1086"/>
      <c r="B27" s="1087"/>
      <c r="C27" s="1095"/>
      <c r="D27" s="574"/>
      <c r="E27" s="1044" t="s">
        <v>38</v>
      </c>
      <c r="F27" s="1045">
        <v>5088</v>
      </c>
      <c r="G27" s="1045">
        <v>6105.599999999999</v>
      </c>
      <c r="H27" s="1096"/>
    </row>
    <row r="28" spans="1:8" ht="15.75" customHeight="1">
      <c r="A28" s="1086"/>
      <c r="B28" s="1087"/>
      <c r="C28" s="1095"/>
      <c r="D28" s="1087" t="s">
        <v>21</v>
      </c>
      <c r="E28" s="1097" t="s">
        <v>36</v>
      </c>
      <c r="F28" s="1098">
        <v>8516</v>
      </c>
      <c r="G28" s="1099">
        <v>10219.199999999999</v>
      </c>
      <c r="H28" s="1100" t="s">
        <v>741</v>
      </c>
    </row>
    <row r="29" spans="1:8" ht="15.75">
      <c r="A29" s="1086"/>
      <c r="B29" s="1087"/>
      <c r="C29" s="1101"/>
      <c r="D29" s="1088"/>
      <c r="E29" s="1052" t="s">
        <v>38</v>
      </c>
      <c r="F29" s="1056">
        <v>11359</v>
      </c>
      <c r="G29" s="1053">
        <v>13630.8</v>
      </c>
      <c r="H29" s="1102"/>
    </row>
    <row r="30" spans="1:8" ht="15.75">
      <c r="A30" s="1086"/>
      <c r="B30" s="1087"/>
      <c r="C30" s="1083" t="s">
        <v>581</v>
      </c>
      <c r="D30" s="1083" t="s">
        <v>21</v>
      </c>
      <c r="E30" s="1052" t="s">
        <v>36</v>
      </c>
      <c r="F30" s="1056">
        <v>9771</v>
      </c>
      <c r="G30" s="1053">
        <v>11725.199999999999</v>
      </c>
      <c r="H30" s="1102"/>
    </row>
    <row r="31" spans="1:8" ht="15.75">
      <c r="A31" s="1086"/>
      <c r="B31" s="1087"/>
      <c r="C31" s="1088"/>
      <c r="D31" s="1088"/>
      <c r="E31" s="1052" t="s">
        <v>38</v>
      </c>
      <c r="F31" s="1056">
        <v>13751</v>
      </c>
      <c r="G31" s="1053">
        <v>16501.2</v>
      </c>
      <c r="H31" s="1102"/>
    </row>
    <row r="32" spans="1:8" ht="15.75">
      <c r="A32" s="1086"/>
      <c r="B32" s="1087"/>
      <c r="C32" s="1083" t="s">
        <v>582</v>
      </c>
      <c r="D32" s="1083" t="s">
        <v>21</v>
      </c>
      <c r="E32" s="1052" t="s">
        <v>36</v>
      </c>
      <c r="F32" s="1056">
        <v>13823</v>
      </c>
      <c r="G32" s="1053">
        <v>16587.6</v>
      </c>
      <c r="H32" s="1102"/>
    </row>
    <row r="33" spans="1:8" ht="15.75">
      <c r="A33" s="1086"/>
      <c r="B33" s="1087"/>
      <c r="C33" s="1088"/>
      <c r="D33" s="1088"/>
      <c r="E33" s="1052" t="s">
        <v>38</v>
      </c>
      <c r="F33" s="1056">
        <v>15685</v>
      </c>
      <c r="G33" s="1053">
        <v>18822</v>
      </c>
      <c r="H33" s="1102"/>
    </row>
    <row r="34" spans="1:8" ht="15.75">
      <c r="A34" s="1086"/>
      <c r="B34" s="1087"/>
      <c r="C34" s="1083" t="s">
        <v>583</v>
      </c>
      <c r="D34" s="1083" t="s">
        <v>21</v>
      </c>
      <c r="E34" s="1052" t="s">
        <v>36</v>
      </c>
      <c r="F34" s="1056">
        <v>16707</v>
      </c>
      <c r="G34" s="1053">
        <v>20048.399999999998</v>
      </c>
      <c r="H34" s="1102"/>
    </row>
    <row r="35" spans="1:8" ht="15.75">
      <c r="A35" s="1086"/>
      <c r="B35" s="1087"/>
      <c r="C35" s="1088"/>
      <c r="D35" s="1088"/>
      <c r="E35" s="1052" t="s">
        <v>38</v>
      </c>
      <c r="F35" s="1056">
        <v>19780</v>
      </c>
      <c r="G35" s="1053">
        <v>23736</v>
      </c>
      <c r="H35" s="1102"/>
    </row>
    <row r="36" spans="1:8" ht="15.75">
      <c r="A36" s="1086"/>
      <c r="B36" s="1087"/>
      <c r="C36" s="1083" t="s">
        <v>584</v>
      </c>
      <c r="D36" s="1083" t="s">
        <v>21</v>
      </c>
      <c r="E36" s="1052" t="s">
        <v>36</v>
      </c>
      <c r="F36" s="1056">
        <v>20429</v>
      </c>
      <c r="G36" s="1053">
        <v>24514.8</v>
      </c>
      <c r="H36" s="1102"/>
    </row>
    <row r="37" spans="1:8" ht="15.75">
      <c r="A37" s="1086"/>
      <c r="B37" s="1087"/>
      <c r="C37" s="1088"/>
      <c r="D37" s="1088"/>
      <c r="E37" s="1052" t="s">
        <v>38</v>
      </c>
      <c r="F37" s="1056">
        <v>22601</v>
      </c>
      <c r="G37" s="1053">
        <v>27121.2</v>
      </c>
      <c r="H37" s="1102"/>
    </row>
    <row r="38" spans="1:8" ht="15.75">
      <c r="A38" s="1086"/>
      <c r="B38" s="1087"/>
      <c r="C38" s="1083" t="s">
        <v>585</v>
      </c>
      <c r="D38" s="1083" t="s">
        <v>21</v>
      </c>
      <c r="E38" s="1052" t="s">
        <v>36</v>
      </c>
      <c r="F38" s="1056">
        <v>20559</v>
      </c>
      <c r="G38" s="1053">
        <v>24670.8</v>
      </c>
      <c r="H38" s="1102"/>
    </row>
    <row r="39" spans="1:8" ht="15.75">
      <c r="A39" s="1086"/>
      <c r="B39" s="1087"/>
      <c r="C39" s="1088"/>
      <c r="D39" s="1088"/>
      <c r="E39" s="1052" t="s">
        <v>38</v>
      </c>
      <c r="F39" s="1056">
        <v>23276</v>
      </c>
      <c r="G39" s="1053">
        <v>27931.2</v>
      </c>
      <c r="H39" s="1102"/>
    </row>
    <row r="40" spans="1:8" ht="15.75">
      <c r="A40" s="1086"/>
      <c r="B40" s="1087"/>
      <c r="C40" s="1083" t="s">
        <v>586</v>
      </c>
      <c r="D40" s="1083" t="s">
        <v>21</v>
      </c>
      <c r="E40" s="1052" t="s">
        <v>36</v>
      </c>
      <c r="F40" s="1056">
        <v>27335</v>
      </c>
      <c r="G40" s="1053">
        <v>32802</v>
      </c>
      <c r="H40" s="1102"/>
    </row>
    <row r="41" spans="1:8" ht="15.75">
      <c r="A41" s="1086"/>
      <c r="B41" s="1087"/>
      <c r="C41" s="1088"/>
      <c r="D41" s="1088"/>
      <c r="E41" s="1052" t="s">
        <v>38</v>
      </c>
      <c r="F41" s="1056">
        <v>30325</v>
      </c>
      <c r="G41" s="1053">
        <v>36390</v>
      </c>
      <c r="H41" s="1102"/>
    </row>
    <row r="42" spans="1:8" ht="15.75">
      <c r="A42" s="1086"/>
      <c r="B42" s="1087"/>
      <c r="C42" s="1083" t="s">
        <v>587</v>
      </c>
      <c r="D42" s="1083" t="s">
        <v>21</v>
      </c>
      <c r="E42" s="1052" t="s">
        <v>22</v>
      </c>
      <c r="F42" s="1056">
        <v>30085</v>
      </c>
      <c r="G42" s="1053">
        <v>36102</v>
      </c>
      <c r="H42" s="1102"/>
    </row>
    <row r="43" spans="1:8" ht="15.75">
      <c r="A43" s="1086"/>
      <c r="B43" s="1087"/>
      <c r="C43" s="1088"/>
      <c r="D43" s="1088"/>
      <c r="E43" s="1052" t="s">
        <v>38</v>
      </c>
      <c r="F43" s="1056">
        <v>33115</v>
      </c>
      <c r="G43" s="1053">
        <v>39738</v>
      </c>
      <c r="H43" s="1102"/>
    </row>
    <row r="44" spans="1:8" ht="15.75">
      <c r="A44" s="1086"/>
      <c r="B44" s="1087"/>
      <c r="C44" s="1083" t="s">
        <v>588</v>
      </c>
      <c r="D44" s="1083" t="s">
        <v>21</v>
      </c>
      <c r="E44" s="1052" t="s">
        <v>36</v>
      </c>
      <c r="F44" s="1056">
        <v>36709</v>
      </c>
      <c r="G44" s="1053">
        <v>44050.799999999996</v>
      </c>
      <c r="H44" s="1102"/>
    </row>
    <row r="45" spans="1:8" ht="15.75">
      <c r="A45" s="1086"/>
      <c r="B45" s="1087"/>
      <c r="C45" s="1088"/>
      <c r="D45" s="1088"/>
      <c r="E45" s="1052" t="s">
        <v>38</v>
      </c>
      <c r="F45" s="1056">
        <v>39906</v>
      </c>
      <c r="G45" s="1053">
        <v>47887.2</v>
      </c>
      <c r="H45" s="1102"/>
    </row>
    <row r="46" spans="1:8" ht="15.75">
      <c r="A46" s="1086"/>
      <c r="B46" s="1087"/>
      <c r="C46" s="1083" t="s">
        <v>589</v>
      </c>
      <c r="D46" s="1083" t="s">
        <v>21</v>
      </c>
      <c r="E46" s="1052" t="s">
        <v>36</v>
      </c>
      <c r="F46" s="1056">
        <v>43202</v>
      </c>
      <c r="G46" s="1053">
        <v>51842.4</v>
      </c>
      <c r="H46" s="1102"/>
    </row>
    <row r="47" spans="1:8" ht="15.75">
      <c r="A47" s="1086"/>
      <c r="B47" s="1087"/>
      <c r="C47" s="1088"/>
      <c r="D47" s="1088"/>
      <c r="E47" s="1052" t="s">
        <v>38</v>
      </c>
      <c r="F47" s="1056">
        <v>46700</v>
      </c>
      <c r="G47" s="1053">
        <v>56040</v>
      </c>
      <c r="H47" s="1102"/>
    </row>
    <row r="48" spans="1:8" ht="15.75">
      <c r="A48" s="1086"/>
      <c r="B48" s="1087"/>
      <c r="C48" s="1083" t="s">
        <v>590</v>
      </c>
      <c r="D48" s="1083" t="s">
        <v>21</v>
      </c>
      <c r="E48" s="1052" t="s">
        <v>22</v>
      </c>
      <c r="F48" s="1056">
        <v>49765</v>
      </c>
      <c r="G48" s="1053">
        <v>59718</v>
      </c>
      <c r="H48" s="1102"/>
    </row>
    <row r="49" spans="1:8" ht="15.75">
      <c r="A49" s="1086"/>
      <c r="B49" s="1087"/>
      <c r="C49" s="1088"/>
      <c r="D49" s="1088"/>
      <c r="E49" s="1052" t="s">
        <v>38</v>
      </c>
      <c r="F49" s="1056">
        <v>53491</v>
      </c>
      <c r="G49" s="1053">
        <v>64189.2</v>
      </c>
      <c r="H49" s="1102"/>
    </row>
    <row r="50" spans="1:8" ht="15.75">
      <c r="A50" s="1086"/>
      <c r="B50" s="1087"/>
      <c r="C50" s="1083" t="s">
        <v>591</v>
      </c>
      <c r="D50" s="1083" t="s">
        <v>21</v>
      </c>
      <c r="E50" s="1052" t="s">
        <v>36</v>
      </c>
      <c r="F50" s="1056">
        <v>57528</v>
      </c>
      <c r="G50" s="1053">
        <v>69033.59999999999</v>
      </c>
      <c r="H50" s="1102"/>
    </row>
    <row r="51" spans="1:8" ht="15.75">
      <c r="A51" s="1086"/>
      <c r="B51" s="1087"/>
      <c r="C51" s="1088"/>
      <c r="D51" s="1088"/>
      <c r="E51" s="1052" t="s">
        <v>38</v>
      </c>
      <c r="F51" s="1056">
        <v>61763</v>
      </c>
      <c r="G51" s="1053">
        <v>74115.59999999999</v>
      </c>
      <c r="H51" s="1102"/>
    </row>
    <row r="52" spans="1:8" ht="15.75">
      <c r="A52" s="1086"/>
      <c r="B52" s="1087"/>
      <c r="C52" s="1083" t="s">
        <v>592</v>
      </c>
      <c r="D52" s="1083" t="s">
        <v>21</v>
      </c>
      <c r="E52" s="1052" t="s">
        <v>36</v>
      </c>
      <c r="F52" s="1056">
        <v>62370</v>
      </c>
      <c r="G52" s="1053">
        <v>74844</v>
      </c>
      <c r="H52" s="1102"/>
    </row>
    <row r="53" spans="1:8" ht="15.75">
      <c r="A53" s="1086"/>
      <c r="B53" s="1087"/>
      <c r="C53" s="1088"/>
      <c r="D53" s="1088"/>
      <c r="E53" s="1052" t="s">
        <v>38</v>
      </c>
      <c r="F53" s="1056">
        <v>66449</v>
      </c>
      <c r="G53" s="1053">
        <v>79738.8</v>
      </c>
      <c r="H53" s="1102"/>
    </row>
    <row r="54" spans="1:8" ht="15.75">
      <c r="A54" s="1086"/>
      <c r="B54" s="1087"/>
      <c r="C54" s="1083" t="s">
        <v>593</v>
      </c>
      <c r="D54" s="1083" t="s">
        <v>21</v>
      </c>
      <c r="E54" s="1052" t="s">
        <v>36</v>
      </c>
      <c r="F54" s="1056">
        <v>69919</v>
      </c>
      <c r="G54" s="1053">
        <v>83902.8</v>
      </c>
      <c r="H54" s="1102"/>
    </row>
    <row r="55" spans="1:8" ht="15.75">
      <c r="A55" s="1086"/>
      <c r="B55" s="1087"/>
      <c r="C55" s="1088"/>
      <c r="D55" s="1088"/>
      <c r="E55" s="1052" t="s">
        <v>38</v>
      </c>
      <c r="F55" s="1056">
        <v>74356</v>
      </c>
      <c r="G55" s="1053">
        <v>89227.2</v>
      </c>
      <c r="H55" s="1102"/>
    </row>
    <row r="56" spans="1:8" ht="15.75">
      <c r="A56" s="1086"/>
      <c r="B56" s="1087"/>
      <c r="C56" s="1083" t="s">
        <v>594</v>
      </c>
      <c r="D56" s="1083" t="s">
        <v>21</v>
      </c>
      <c r="E56" s="1052" t="s">
        <v>36</v>
      </c>
      <c r="F56" s="1056">
        <v>76300</v>
      </c>
      <c r="G56" s="1053">
        <v>91560</v>
      </c>
      <c r="H56" s="1102"/>
    </row>
    <row r="57" spans="1:8" ht="15.75">
      <c r="A57" s="1086"/>
      <c r="B57" s="1087"/>
      <c r="C57" s="1088"/>
      <c r="D57" s="1088"/>
      <c r="E57" s="1052" t="s">
        <v>38</v>
      </c>
      <c r="F57" s="1056">
        <v>80936</v>
      </c>
      <c r="G57" s="1053">
        <v>97123.2</v>
      </c>
      <c r="H57" s="1102"/>
    </row>
    <row r="58" spans="1:8" ht="15.75">
      <c r="A58" s="1086"/>
      <c r="B58" s="1087"/>
      <c r="C58" s="1083" t="s">
        <v>595</v>
      </c>
      <c r="D58" s="1083" t="s">
        <v>21</v>
      </c>
      <c r="E58" s="1052" t="s">
        <v>36</v>
      </c>
      <c r="F58" s="1056">
        <v>82739</v>
      </c>
      <c r="G58" s="1053">
        <v>99286.8</v>
      </c>
      <c r="H58" s="1102"/>
    </row>
    <row r="59" spans="1:8" ht="15.75">
      <c r="A59" s="1086"/>
      <c r="B59" s="1087"/>
      <c r="C59" s="1088"/>
      <c r="D59" s="1088"/>
      <c r="E59" s="1052" t="s">
        <v>38</v>
      </c>
      <c r="F59" s="1056">
        <v>87631</v>
      </c>
      <c r="G59" s="1053">
        <v>105157.2</v>
      </c>
      <c r="H59" s="1102"/>
    </row>
    <row r="60" spans="1:8" ht="15.75">
      <c r="A60" s="1086"/>
      <c r="B60" s="1087"/>
      <c r="C60" s="1083" t="s">
        <v>596</v>
      </c>
      <c r="D60" s="1083" t="s">
        <v>21</v>
      </c>
      <c r="E60" s="1052" t="s">
        <v>36</v>
      </c>
      <c r="F60" s="1056">
        <v>89120</v>
      </c>
      <c r="G60" s="1053">
        <v>106944</v>
      </c>
      <c r="H60" s="1102"/>
    </row>
    <row r="61" spans="1:8" ht="15.75">
      <c r="A61" s="1086"/>
      <c r="B61" s="1087"/>
      <c r="C61" s="1088"/>
      <c r="D61" s="1088"/>
      <c r="E61" s="1052" t="s">
        <v>38</v>
      </c>
      <c r="F61" s="1056">
        <v>94234</v>
      </c>
      <c r="G61" s="1053">
        <v>113080.8</v>
      </c>
      <c r="H61" s="1102"/>
    </row>
    <row r="62" spans="1:8" ht="15.75">
      <c r="A62" s="1086"/>
      <c r="B62" s="1087"/>
      <c r="C62" s="1083" t="s">
        <v>597</v>
      </c>
      <c r="D62" s="1083" t="s">
        <v>21</v>
      </c>
      <c r="E62" s="1052" t="s">
        <v>36</v>
      </c>
      <c r="F62" s="1056">
        <v>95495</v>
      </c>
      <c r="G62" s="1053">
        <v>114594</v>
      </c>
      <c r="H62" s="1102"/>
    </row>
    <row r="63" spans="1:8" ht="15.75">
      <c r="A63" s="1086"/>
      <c r="B63" s="1087"/>
      <c r="C63" s="1088"/>
      <c r="D63" s="1088"/>
      <c r="E63" s="1052" t="s">
        <v>38</v>
      </c>
      <c r="F63" s="1056">
        <v>100837</v>
      </c>
      <c r="G63" s="1053">
        <v>121004.4</v>
      </c>
      <c r="H63" s="1102"/>
    </row>
    <row r="64" spans="1:8" ht="15.75">
      <c r="A64" s="1086"/>
      <c r="B64" s="1087"/>
      <c r="C64" s="1083" t="s">
        <v>598</v>
      </c>
      <c r="D64" s="1083" t="s">
        <v>21</v>
      </c>
      <c r="E64" s="1052" t="s">
        <v>22</v>
      </c>
      <c r="F64" s="1056">
        <v>103049</v>
      </c>
      <c r="G64" s="1053">
        <v>123658.79999999999</v>
      </c>
      <c r="H64" s="1102"/>
    </row>
    <row r="65" spans="1:8" ht="15.75">
      <c r="A65" s="1086"/>
      <c r="B65" s="1087"/>
      <c r="C65" s="1088"/>
      <c r="D65" s="1088"/>
      <c r="E65" s="1052" t="s">
        <v>38</v>
      </c>
      <c r="F65" s="1056">
        <v>108611</v>
      </c>
      <c r="G65" s="1053">
        <v>130333.2</v>
      </c>
      <c r="H65" s="1102"/>
    </row>
    <row r="66" spans="1:8" ht="15.75">
      <c r="A66" s="1086"/>
      <c r="B66" s="1087"/>
      <c r="C66" s="1083" t="s">
        <v>599</v>
      </c>
      <c r="D66" s="1083" t="s">
        <v>21</v>
      </c>
      <c r="E66" s="1052" t="s">
        <v>36</v>
      </c>
      <c r="F66" s="1056">
        <v>109459</v>
      </c>
      <c r="G66" s="1053">
        <v>131350.8</v>
      </c>
      <c r="H66" s="1102"/>
    </row>
    <row r="67" spans="1:8" ht="15.75">
      <c r="A67" s="1086"/>
      <c r="B67" s="1087"/>
      <c r="C67" s="1088"/>
      <c r="D67" s="1088"/>
      <c r="E67" s="1052" t="s">
        <v>38</v>
      </c>
      <c r="F67" s="1056">
        <v>115281</v>
      </c>
      <c r="G67" s="1053">
        <v>138337.19999999998</v>
      </c>
      <c r="H67" s="1102"/>
    </row>
    <row r="68" spans="1:8" ht="15.75">
      <c r="A68" s="1086"/>
      <c r="B68" s="1087"/>
      <c r="C68" s="1083" t="s">
        <v>600</v>
      </c>
      <c r="D68" s="1083" t="s">
        <v>21</v>
      </c>
      <c r="E68" s="1052" t="s">
        <v>36</v>
      </c>
      <c r="F68" s="1056">
        <v>113663</v>
      </c>
      <c r="G68" s="1053">
        <v>136395.6</v>
      </c>
      <c r="H68" s="1102"/>
    </row>
    <row r="69" spans="1:8" ht="15.75">
      <c r="A69" s="1086"/>
      <c r="B69" s="1087"/>
      <c r="C69" s="1088"/>
      <c r="D69" s="1088"/>
      <c r="E69" s="1052" t="s">
        <v>38</v>
      </c>
      <c r="F69" s="1056">
        <v>119631</v>
      </c>
      <c r="G69" s="1053">
        <v>143557.19999999998</v>
      </c>
      <c r="H69" s="1102"/>
    </row>
    <row r="70" spans="1:8" ht="15.75">
      <c r="A70" s="1086"/>
      <c r="B70" s="1087"/>
      <c r="C70" s="1083" t="s">
        <v>601</v>
      </c>
      <c r="D70" s="1083" t="s">
        <v>21</v>
      </c>
      <c r="E70" s="1052" t="s">
        <v>36</v>
      </c>
      <c r="F70" s="1056">
        <v>119854</v>
      </c>
      <c r="G70" s="1053">
        <v>143824.8</v>
      </c>
      <c r="H70" s="1102"/>
    </row>
    <row r="71" spans="1:8" ht="15.75">
      <c r="A71" s="1086"/>
      <c r="B71" s="1087"/>
      <c r="C71" s="1088"/>
      <c r="D71" s="1088"/>
      <c r="E71" s="1052" t="s">
        <v>38</v>
      </c>
      <c r="F71" s="1056">
        <v>126109</v>
      </c>
      <c r="G71" s="1053">
        <v>151330.8</v>
      </c>
      <c r="H71" s="1102"/>
    </row>
    <row r="72" spans="1:8" ht="15.75">
      <c r="A72" s="1086"/>
      <c r="B72" s="1087"/>
      <c r="C72" s="1083" t="s">
        <v>602</v>
      </c>
      <c r="D72" s="1083" t="s">
        <v>21</v>
      </c>
      <c r="E72" s="1052" t="s">
        <v>22</v>
      </c>
      <c r="F72" s="1056">
        <v>127258</v>
      </c>
      <c r="G72" s="1053">
        <v>152709.6</v>
      </c>
      <c r="H72" s="1102"/>
    </row>
    <row r="73" spans="1:8" ht="15.75">
      <c r="A73" s="1086"/>
      <c r="B73" s="1087"/>
      <c r="C73" s="1088"/>
      <c r="D73" s="1088"/>
      <c r="E73" s="1052" t="s">
        <v>38</v>
      </c>
      <c r="F73" s="1056">
        <v>133733</v>
      </c>
      <c r="G73" s="1053">
        <v>160479.6</v>
      </c>
      <c r="H73" s="1102"/>
    </row>
    <row r="74" spans="1:8" ht="15.75">
      <c r="A74" s="1086"/>
      <c r="B74" s="1087"/>
      <c r="C74" s="1083" t="s">
        <v>603</v>
      </c>
      <c r="D74" s="1083" t="s">
        <v>21</v>
      </c>
      <c r="E74" s="1052" t="s">
        <v>22</v>
      </c>
      <c r="F74" s="1056">
        <v>133578</v>
      </c>
      <c r="G74" s="1053">
        <v>160293.6</v>
      </c>
      <c r="H74" s="1102"/>
    </row>
    <row r="75" spans="1:8" ht="15.75">
      <c r="A75" s="1086"/>
      <c r="B75" s="1087"/>
      <c r="C75" s="1088"/>
      <c r="D75" s="1088"/>
      <c r="E75" s="1052" t="s">
        <v>38</v>
      </c>
      <c r="F75" s="1103">
        <v>140343</v>
      </c>
      <c r="G75" s="1104">
        <v>168411.6</v>
      </c>
      <c r="H75" s="1102"/>
    </row>
    <row r="76" spans="1:8" ht="15.75">
      <c r="A76" s="1086"/>
      <c r="B76" s="1087"/>
      <c r="C76" s="1083" t="s">
        <v>604</v>
      </c>
      <c r="D76" s="1083" t="s">
        <v>21</v>
      </c>
      <c r="E76" s="1105" t="s">
        <v>22</v>
      </c>
      <c r="F76" s="1050">
        <v>158840</v>
      </c>
      <c r="G76" s="1045">
        <v>190608</v>
      </c>
      <c r="H76" s="1102"/>
    </row>
    <row r="77" spans="1:8" ht="15.75">
      <c r="A77" s="1086"/>
      <c r="B77" s="1087"/>
      <c r="C77" s="1087"/>
      <c r="D77" s="1087"/>
      <c r="E77" s="1106" t="s">
        <v>38</v>
      </c>
      <c r="F77" s="1107">
        <v>165110</v>
      </c>
      <c r="G77" s="1108">
        <v>198132</v>
      </c>
      <c r="H77" s="1102"/>
    </row>
    <row r="78" spans="1:8" ht="15.75">
      <c r="A78" s="1086"/>
      <c r="B78" s="1095"/>
      <c r="C78" s="1109" t="s">
        <v>605</v>
      </c>
      <c r="D78" s="1110" t="s">
        <v>21</v>
      </c>
      <c r="E78" s="1044" t="s">
        <v>22</v>
      </c>
      <c r="F78" s="1050">
        <v>167233</v>
      </c>
      <c r="G78" s="1045">
        <v>200679.6</v>
      </c>
      <c r="H78" s="1102"/>
    </row>
    <row r="79" spans="1:8" ht="15.75">
      <c r="A79" s="1086"/>
      <c r="B79" s="1095"/>
      <c r="C79" s="1111"/>
      <c r="D79" s="1112"/>
      <c r="E79" s="1044" t="s">
        <v>38</v>
      </c>
      <c r="F79" s="1050">
        <v>173817</v>
      </c>
      <c r="G79" s="1045">
        <v>208580.4</v>
      </c>
      <c r="H79" s="1102"/>
    </row>
    <row r="80" spans="1:8" ht="15.75">
      <c r="A80" s="1086"/>
      <c r="B80" s="1095"/>
      <c r="C80" s="1087" t="s">
        <v>606</v>
      </c>
      <c r="D80" s="1087" t="s">
        <v>21</v>
      </c>
      <c r="E80" s="1113" t="s">
        <v>22</v>
      </c>
      <c r="F80" s="1114">
        <v>177177</v>
      </c>
      <c r="G80" s="1115">
        <v>212612.4</v>
      </c>
      <c r="H80" s="1102"/>
    </row>
    <row r="81" spans="1:8" ht="15.75">
      <c r="A81" s="1086"/>
      <c r="B81" s="1095"/>
      <c r="C81" s="1087"/>
      <c r="D81" s="1087"/>
      <c r="E81" s="1106" t="s">
        <v>38</v>
      </c>
      <c r="F81" s="1050">
        <v>184146</v>
      </c>
      <c r="G81" s="1045">
        <v>220975.19999999998</v>
      </c>
      <c r="H81" s="1102"/>
    </row>
    <row r="82" spans="1:8" ht="15.75">
      <c r="A82" s="1086"/>
      <c r="B82" s="1095"/>
      <c r="C82" s="1083" t="s">
        <v>607</v>
      </c>
      <c r="D82" s="1083" t="s">
        <v>21</v>
      </c>
      <c r="E82" s="1106" t="s">
        <v>22</v>
      </c>
      <c r="F82" s="1050">
        <v>187121</v>
      </c>
      <c r="G82" s="1045">
        <v>224545.19999999998</v>
      </c>
      <c r="H82" s="1102"/>
    </row>
    <row r="83" spans="1:8" ht="15.75">
      <c r="A83" s="1086"/>
      <c r="B83" s="1095"/>
      <c r="C83" s="1087"/>
      <c r="D83" s="1087"/>
      <c r="E83" s="1106" t="s">
        <v>38</v>
      </c>
      <c r="F83" s="1050">
        <v>194475</v>
      </c>
      <c r="G83" s="1045">
        <v>233370</v>
      </c>
      <c r="H83" s="1102"/>
    </row>
    <row r="84" spans="1:8" ht="15.75">
      <c r="A84" s="1086"/>
      <c r="B84" s="1095"/>
      <c r="C84" s="1109" t="s">
        <v>608</v>
      </c>
      <c r="D84" s="1110" t="s">
        <v>21</v>
      </c>
      <c r="E84" s="1106" t="s">
        <v>22</v>
      </c>
      <c r="F84" s="1107">
        <v>203407</v>
      </c>
      <c r="G84" s="1045">
        <v>244088.4</v>
      </c>
      <c r="H84" s="1102"/>
    </row>
    <row r="85" spans="1:8" ht="15.75" customHeight="1">
      <c r="A85" s="1090"/>
      <c r="B85" s="1101"/>
      <c r="C85" s="1111"/>
      <c r="D85" s="1112"/>
      <c r="E85" s="1022" t="s">
        <v>38</v>
      </c>
      <c r="F85" s="1050">
        <v>211184</v>
      </c>
      <c r="G85" s="1045">
        <v>253420.8</v>
      </c>
      <c r="H85" s="1116"/>
    </row>
    <row r="86" spans="1:8" ht="15.75" customHeight="1">
      <c r="A86" s="1082">
        <v>5</v>
      </c>
      <c r="B86" s="1083" t="s">
        <v>57</v>
      </c>
      <c r="C86" s="1087" t="s">
        <v>58</v>
      </c>
      <c r="D86" s="1097" t="s">
        <v>21</v>
      </c>
      <c r="E86" s="1097" t="s">
        <v>22</v>
      </c>
      <c r="F86" s="1101" t="s">
        <v>76</v>
      </c>
      <c r="G86" s="1117"/>
      <c r="H86" s="514"/>
    </row>
    <row r="87" spans="1:8" ht="15.75">
      <c r="A87" s="1086"/>
      <c r="B87" s="1087"/>
      <c r="C87" s="1087"/>
      <c r="D87" s="1052" t="s">
        <v>21</v>
      </c>
      <c r="E87" s="1052" t="s">
        <v>38</v>
      </c>
      <c r="F87" s="1080" t="s">
        <v>76</v>
      </c>
      <c r="G87" s="1084"/>
      <c r="H87" s="514"/>
    </row>
    <row r="88" spans="1:8" ht="15.75" customHeight="1">
      <c r="A88" s="1090"/>
      <c r="B88" s="1088"/>
      <c r="C88" s="1088"/>
      <c r="D88" s="1052" t="s">
        <v>25</v>
      </c>
      <c r="E88" s="1052"/>
      <c r="F88" s="1080" t="s">
        <v>76</v>
      </c>
      <c r="G88" s="1084"/>
      <c r="H88" s="514"/>
    </row>
    <row r="89" spans="1:8" ht="15.75" customHeight="1">
      <c r="A89" s="1082">
        <v>6</v>
      </c>
      <c r="B89" s="1083" t="s">
        <v>527</v>
      </c>
      <c r="C89" s="1162" t="s">
        <v>467</v>
      </c>
      <c r="D89" s="1163"/>
      <c r="E89" s="1165"/>
      <c r="F89" s="1163"/>
      <c r="G89" s="1163"/>
      <c r="H89" s="1164"/>
    </row>
    <row r="90" spans="1:8" ht="15.75" customHeight="1">
      <c r="A90" s="1086"/>
      <c r="B90" s="1087"/>
      <c r="C90" s="1083" t="s">
        <v>468</v>
      </c>
      <c r="D90" s="1093" t="s">
        <v>21</v>
      </c>
      <c r="E90" s="1052" t="s">
        <v>22</v>
      </c>
      <c r="F90" s="1118">
        <v>7672</v>
      </c>
      <c r="G90" s="1053">
        <f>F90*1.2</f>
        <v>9206.4</v>
      </c>
      <c r="H90" s="514" t="s">
        <v>264</v>
      </c>
    </row>
    <row r="91" spans="1:8" ht="15.75">
      <c r="A91" s="1086"/>
      <c r="B91" s="1087"/>
      <c r="C91" s="1087"/>
      <c r="D91" s="1095"/>
      <c r="E91" s="1052" t="s">
        <v>22</v>
      </c>
      <c r="F91" s="1118">
        <v>8752</v>
      </c>
      <c r="G91" s="1053">
        <f aca="true" t="shared" si="0" ref="G91:G97">F91*1.2</f>
        <v>10502.4</v>
      </c>
      <c r="H91" s="514" t="s">
        <v>265</v>
      </c>
    </row>
    <row r="92" spans="1:8" ht="15.75" customHeight="1">
      <c r="A92" s="1086"/>
      <c r="B92" s="1087"/>
      <c r="C92" s="1088"/>
      <c r="D92" s="1087"/>
      <c r="E92" s="1097" t="s">
        <v>30</v>
      </c>
      <c r="F92" s="1056">
        <v>9562</v>
      </c>
      <c r="G92" s="1053">
        <f t="shared" si="0"/>
        <v>11474.4</v>
      </c>
      <c r="H92" s="514"/>
    </row>
    <row r="93" spans="1:8" ht="15.75" customHeight="1">
      <c r="A93" s="1086"/>
      <c r="B93" s="1087"/>
      <c r="C93" s="1083" t="s">
        <v>469</v>
      </c>
      <c r="D93" s="1087"/>
      <c r="E93" s="1052" t="s">
        <v>22</v>
      </c>
      <c r="F93" s="1056">
        <v>4384</v>
      </c>
      <c r="G93" s="1053">
        <f t="shared" si="0"/>
        <v>5260.8</v>
      </c>
      <c r="H93" s="514" t="s">
        <v>264</v>
      </c>
    </row>
    <row r="94" spans="1:8" ht="15.75">
      <c r="A94" s="1086"/>
      <c r="B94" s="1087"/>
      <c r="C94" s="1087"/>
      <c r="D94" s="1087"/>
      <c r="E94" s="1052" t="s">
        <v>22</v>
      </c>
      <c r="F94" s="1056">
        <v>5464</v>
      </c>
      <c r="G94" s="1053">
        <f t="shared" si="0"/>
        <v>6556.8</v>
      </c>
      <c r="H94" s="514" t="s">
        <v>265</v>
      </c>
    </row>
    <row r="95" spans="1:8" ht="15.75" customHeight="1">
      <c r="A95" s="1086"/>
      <c r="B95" s="1087"/>
      <c r="C95" s="1088"/>
      <c r="D95" s="1087"/>
      <c r="E95" s="1052" t="s">
        <v>30</v>
      </c>
      <c r="F95" s="1056">
        <v>5464</v>
      </c>
      <c r="G95" s="1053">
        <f t="shared" si="0"/>
        <v>6556.8</v>
      </c>
      <c r="H95" s="514"/>
    </row>
    <row r="96" spans="1:8" ht="15.75" customHeight="1">
      <c r="A96" s="1086"/>
      <c r="B96" s="1087"/>
      <c r="C96" s="1083" t="s">
        <v>469</v>
      </c>
      <c r="D96" s="1087"/>
      <c r="E96" s="1052" t="s">
        <v>22</v>
      </c>
      <c r="F96" s="1056">
        <v>3288</v>
      </c>
      <c r="G96" s="1053">
        <f t="shared" si="0"/>
        <v>3945.6</v>
      </c>
      <c r="H96" s="514" t="s">
        <v>95</v>
      </c>
    </row>
    <row r="97" spans="1:8" ht="15.75" customHeight="1">
      <c r="A97" s="1090"/>
      <c r="B97" s="1088"/>
      <c r="C97" s="1088"/>
      <c r="D97" s="1088"/>
      <c r="E97" s="1052" t="s">
        <v>30</v>
      </c>
      <c r="F97" s="1056">
        <v>4098</v>
      </c>
      <c r="G97" s="1053">
        <f t="shared" si="0"/>
        <v>4917.599999999999</v>
      </c>
      <c r="H97" s="514" t="s">
        <v>95</v>
      </c>
    </row>
    <row r="98" spans="1:8" s="1167" customFormat="1" ht="15.75" customHeight="1">
      <c r="A98" s="1166" t="s">
        <v>609</v>
      </c>
      <c r="B98" s="1163"/>
      <c r="C98" s="1163"/>
      <c r="D98" s="1163"/>
      <c r="E98" s="1163"/>
      <c r="F98" s="1163"/>
      <c r="G98" s="1163"/>
      <c r="H98" s="1164"/>
    </row>
    <row r="99" spans="1:8" s="1167" customFormat="1" ht="15.75" customHeight="1">
      <c r="A99" s="1168" t="s">
        <v>69</v>
      </c>
      <c r="B99" s="1169"/>
      <c r="C99" s="1162" t="s">
        <v>610</v>
      </c>
      <c r="D99" s="1163"/>
      <c r="E99" s="1163"/>
      <c r="F99" s="1163"/>
      <c r="G99" s="1163"/>
      <c r="H99" s="1164"/>
    </row>
    <row r="100" spans="1:8" s="1167" customFormat="1" ht="15.75" customHeight="1">
      <c r="A100" s="1168" t="s">
        <v>71</v>
      </c>
      <c r="B100" s="1169"/>
      <c r="C100" s="1162" t="s">
        <v>72</v>
      </c>
      <c r="D100" s="1163"/>
      <c r="E100" s="1163"/>
      <c r="F100" s="1163"/>
      <c r="G100" s="1163"/>
      <c r="H100" s="1164"/>
    </row>
    <row r="101" spans="1:8" ht="15.75" customHeight="1">
      <c r="A101" s="1119">
        <v>7</v>
      </c>
      <c r="B101" s="516" t="s">
        <v>611</v>
      </c>
      <c r="C101" s="1105" t="s">
        <v>612</v>
      </c>
      <c r="D101" s="1052" t="s">
        <v>25</v>
      </c>
      <c r="E101" s="1052"/>
      <c r="F101" s="1080" t="s">
        <v>76</v>
      </c>
      <c r="G101" s="1084"/>
      <c r="H101" s="514"/>
    </row>
    <row r="102" spans="1:8" ht="15.75" customHeight="1">
      <c r="A102" s="1082">
        <v>8</v>
      </c>
      <c r="B102" s="1120" t="s">
        <v>613</v>
      </c>
      <c r="C102" s="1083" t="s">
        <v>614</v>
      </c>
      <c r="D102" s="1083" t="s">
        <v>21</v>
      </c>
      <c r="E102" s="1052" t="s">
        <v>22</v>
      </c>
      <c r="F102" s="1080" t="s">
        <v>76</v>
      </c>
      <c r="G102" s="1084"/>
      <c r="H102" s="590"/>
    </row>
    <row r="103" spans="1:8" ht="15.75" customHeight="1">
      <c r="A103" s="1086"/>
      <c r="B103" s="1121"/>
      <c r="C103" s="1087"/>
      <c r="D103" s="1087"/>
      <c r="E103" s="1122" t="s">
        <v>30</v>
      </c>
      <c r="F103" s="1093" t="s">
        <v>76</v>
      </c>
      <c r="G103" s="1123"/>
      <c r="H103" s="591"/>
    </row>
    <row r="104" spans="1:8" ht="45" customHeight="1">
      <c r="A104" s="568">
        <v>9</v>
      </c>
      <c r="B104" s="568" t="s">
        <v>73</v>
      </c>
      <c r="C104" s="568" t="s">
        <v>528</v>
      </c>
      <c r="D104" s="568" t="s">
        <v>530</v>
      </c>
      <c r="E104" s="1044" t="s">
        <v>22</v>
      </c>
      <c r="F104" s="1050">
        <v>300</v>
      </c>
      <c r="G104" s="1045">
        <v>360</v>
      </c>
      <c r="H104" s="568" t="s">
        <v>615</v>
      </c>
    </row>
    <row r="105" spans="1:8" ht="45" customHeight="1">
      <c r="A105" s="569"/>
      <c r="B105" s="569"/>
      <c r="C105" s="569"/>
      <c r="D105" s="1124"/>
      <c r="E105" s="1044" t="s">
        <v>38</v>
      </c>
      <c r="F105" s="1050">
        <v>500</v>
      </c>
      <c r="G105" s="1045">
        <v>600</v>
      </c>
      <c r="H105" s="570"/>
    </row>
    <row r="106" spans="1:8" ht="44.25" customHeight="1">
      <c r="A106" s="569"/>
      <c r="B106" s="569"/>
      <c r="C106" s="569"/>
      <c r="D106" s="1124"/>
      <c r="E106" s="1044" t="s">
        <v>22</v>
      </c>
      <c r="F106" s="1050">
        <v>600</v>
      </c>
      <c r="G106" s="1045">
        <v>720</v>
      </c>
      <c r="H106" s="568" t="s">
        <v>616</v>
      </c>
    </row>
    <row r="107" spans="1:8" ht="44.25" customHeight="1">
      <c r="A107" s="1124"/>
      <c r="B107" s="1124"/>
      <c r="C107" s="565"/>
      <c r="D107" s="1124"/>
      <c r="E107" s="1044" t="s">
        <v>38</v>
      </c>
      <c r="F107" s="1050">
        <v>750</v>
      </c>
      <c r="G107" s="1045">
        <v>900</v>
      </c>
      <c r="H107" s="570"/>
    </row>
    <row r="108" spans="1:8" ht="15.75" customHeight="1">
      <c r="A108" s="1124"/>
      <c r="B108" s="1124"/>
      <c r="C108" s="565"/>
      <c r="D108" s="1124"/>
      <c r="E108" s="1044" t="s">
        <v>22</v>
      </c>
      <c r="F108" s="1050">
        <v>1000</v>
      </c>
      <c r="G108" s="1045">
        <v>1200</v>
      </c>
      <c r="H108" s="568" t="s">
        <v>617</v>
      </c>
    </row>
    <row r="109" spans="1:8" ht="15" customHeight="1">
      <c r="A109" s="1124"/>
      <c r="B109" s="1124"/>
      <c r="C109" s="565"/>
      <c r="D109" s="1124"/>
      <c r="E109" s="574" t="s">
        <v>99</v>
      </c>
      <c r="F109" s="1125">
        <v>1000</v>
      </c>
      <c r="G109" s="577">
        <v>1200</v>
      </c>
      <c r="H109" s="569"/>
    </row>
    <row r="110" spans="1:8" ht="15" customHeight="1">
      <c r="A110" s="1124"/>
      <c r="B110" s="1124"/>
      <c r="C110" s="565"/>
      <c r="D110" s="1124"/>
      <c r="E110" s="1126"/>
      <c r="F110" s="1126"/>
      <c r="G110" s="1126"/>
      <c r="H110" s="569"/>
    </row>
    <row r="111" spans="1:8" ht="15" customHeight="1">
      <c r="A111" s="1124"/>
      <c r="B111" s="1124"/>
      <c r="C111" s="565"/>
      <c r="D111" s="1124"/>
      <c r="E111" s="1126"/>
      <c r="F111" s="1126"/>
      <c r="G111" s="1126"/>
      <c r="H111" s="569"/>
    </row>
    <row r="112" spans="1:8" ht="15" customHeight="1">
      <c r="A112" s="1124"/>
      <c r="B112" s="1124"/>
      <c r="C112" s="565"/>
      <c r="D112" s="1124"/>
      <c r="E112" s="1126"/>
      <c r="F112" s="1126"/>
      <c r="G112" s="1126"/>
      <c r="H112" s="569"/>
    </row>
    <row r="113" spans="1:8" ht="15" customHeight="1">
      <c r="A113" s="1124"/>
      <c r="B113" s="1124"/>
      <c r="C113" s="565"/>
      <c r="D113" s="1124"/>
      <c r="E113" s="1126"/>
      <c r="F113" s="1126"/>
      <c r="G113" s="1126"/>
      <c r="H113" s="569"/>
    </row>
    <row r="114" spans="1:8" ht="15.75" customHeight="1">
      <c r="A114" s="1124"/>
      <c r="B114" s="1124"/>
      <c r="C114" s="565"/>
      <c r="D114" s="1127"/>
      <c r="E114" s="1126"/>
      <c r="F114" s="1126"/>
      <c r="G114" s="1126"/>
      <c r="H114" s="570"/>
    </row>
    <row r="115" spans="1:8" ht="15.75" customHeight="1">
      <c r="A115" s="1124"/>
      <c r="B115" s="1124"/>
      <c r="C115" s="565"/>
      <c r="D115" s="574" t="s">
        <v>78</v>
      </c>
      <c r="E115" s="1044" t="s">
        <v>25</v>
      </c>
      <c r="F115" s="1050">
        <v>2112</v>
      </c>
      <c r="G115" s="1045">
        <v>2534.4</v>
      </c>
      <c r="H115" s="1044" t="s">
        <v>84</v>
      </c>
    </row>
    <row r="116" spans="1:8" ht="78.75">
      <c r="A116" s="1124"/>
      <c r="B116" s="1124"/>
      <c r="C116" s="565"/>
      <c r="D116" s="1126"/>
      <c r="E116" s="1044" t="s">
        <v>25</v>
      </c>
      <c r="F116" s="1050">
        <v>3168</v>
      </c>
      <c r="G116" s="1045">
        <v>3801.6</v>
      </c>
      <c r="H116" s="1044" t="s">
        <v>85</v>
      </c>
    </row>
    <row r="117" spans="1:8" ht="63">
      <c r="A117" s="1124"/>
      <c r="B117" s="1124"/>
      <c r="C117" s="565"/>
      <c r="D117" s="1051" t="s">
        <v>75</v>
      </c>
      <c r="E117" s="1049" t="s">
        <v>21</v>
      </c>
      <c r="F117" s="1051" t="s">
        <v>76</v>
      </c>
      <c r="G117" s="1051"/>
      <c r="H117" s="1044" t="s">
        <v>77</v>
      </c>
    </row>
    <row r="118" spans="1:8" ht="15.75" customHeight="1">
      <c r="A118" s="1127"/>
      <c r="B118" s="1127"/>
      <c r="C118" s="566"/>
      <c r="D118" s="1051" t="s">
        <v>78</v>
      </c>
      <c r="E118" s="1049" t="s">
        <v>25</v>
      </c>
      <c r="F118" s="1051" t="s">
        <v>76</v>
      </c>
      <c r="G118" s="1051"/>
      <c r="H118" s="1044"/>
    </row>
    <row r="119" spans="1:8" s="1167" customFormat="1" ht="15.75">
      <c r="A119" s="1170"/>
      <c r="B119" s="1171" t="s">
        <v>86</v>
      </c>
      <c r="C119" s="1172" t="s">
        <v>87</v>
      </c>
      <c r="D119" s="1158"/>
      <c r="E119" s="1158"/>
      <c r="F119" s="1158"/>
      <c r="G119" s="1158"/>
      <c r="H119" s="1159"/>
    </row>
    <row r="120" spans="1:8" ht="15.75" customHeight="1">
      <c r="A120" s="1082">
        <v>10</v>
      </c>
      <c r="B120" s="1120" t="s">
        <v>88</v>
      </c>
      <c r="C120" s="1162" t="s">
        <v>618</v>
      </c>
      <c r="D120" s="1163"/>
      <c r="E120" s="1163"/>
      <c r="F120" s="1163"/>
      <c r="G120" s="1163"/>
      <c r="H120" s="1164"/>
    </row>
    <row r="121" spans="1:8" ht="15.75" customHeight="1">
      <c r="A121" s="1086"/>
      <c r="B121" s="1121"/>
      <c r="C121" s="1083" t="s">
        <v>619</v>
      </c>
      <c r="D121" s="1083" t="s">
        <v>91</v>
      </c>
      <c r="E121" s="1128" t="s">
        <v>288</v>
      </c>
      <c r="F121" s="1053">
        <v>1422</v>
      </c>
      <c r="G121" s="1053">
        <v>1706.3999999999999</v>
      </c>
      <c r="H121" s="1129" t="s">
        <v>712</v>
      </c>
    </row>
    <row r="122" spans="1:8" ht="15.75">
      <c r="A122" s="1086"/>
      <c r="B122" s="1121"/>
      <c r="C122" s="1088"/>
      <c r="D122" s="1087"/>
      <c r="E122" s="1128" t="s">
        <v>22</v>
      </c>
      <c r="F122" s="1053">
        <v>2192</v>
      </c>
      <c r="G122" s="1053">
        <f>F122*1.2</f>
        <v>2630.4</v>
      </c>
      <c r="H122" s="1130"/>
    </row>
    <row r="123" spans="1:8" ht="15.75" customHeight="1">
      <c r="A123" s="1086"/>
      <c r="B123" s="1121"/>
      <c r="C123" s="1122" t="s">
        <v>620</v>
      </c>
      <c r="D123" s="1088"/>
      <c r="E123" s="1122" t="s">
        <v>22</v>
      </c>
      <c r="F123" s="1053">
        <v>2732</v>
      </c>
      <c r="G123" s="1053">
        <f>F123*1.2</f>
        <v>3278.4</v>
      </c>
      <c r="H123" s="1130"/>
    </row>
    <row r="124" spans="1:8" ht="15.75" customHeight="1">
      <c r="A124" s="1086"/>
      <c r="B124" s="1121"/>
      <c r="C124" s="1083" t="s">
        <v>282</v>
      </c>
      <c r="D124" s="1083" t="s">
        <v>91</v>
      </c>
      <c r="E124" s="1128" t="s">
        <v>288</v>
      </c>
      <c r="F124" s="1053">
        <v>208</v>
      </c>
      <c r="G124" s="1053">
        <v>249.6</v>
      </c>
      <c r="H124" s="1130"/>
    </row>
    <row r="125" spans="1:8" ht="15.75">
      <c r="A125" s="1086"/>
      <c r="B125" s="1121"/>
      <c r="C125" s="1088"/>
      <c r="D125" s="1088"/>
      <c r="E125" s="1128" t="s">
        <v>22</v>
      </c>
      <c r="F125" s="1053">
        <v>1644</v>
      </c>
      <c r="G125" s="1053">
        <f>F125*1.2</f>
        <v>1972.8</v>
      </c>
      <c r="H125" s="1130"/>
    </row>
    <row r="126" spans="1:8" ht="15.75" customHeight="1">
      <c r="A126" s="1086"/>
      <c r="B126" s="1121"/>
      <c r="C126" s="1052" t="s">
        <v>283</v>
      </c>
      <c r="D126" s="1083" t="s">
        <v>91</v>
      </c>
      <c r="E126" s="1083" t="s">
        <v>30</v>
      </c>
      <c r="F126" s="1053">
        <v>2732</v>
      </c>
      <c r="G126" s="1053">
        <f>F126*1.2</f>
        <v>3278.4</v>
      </c>
      <c r="H126" s="1130"/>
    </row>
    <row r="127" spans="1:8" ht="31.5">
      <c r="A127" s="1090"/>
      <c r="B127" s="1131"/>
      <c r="C127" s="1052" t="s">
        <v>282</v>
      </c>
      <c r="D127" s="1088"/>
      <c r="E127" s="1088"/>
      <c r="F127" s="1053">
        <v>2049</v>
      </c>
      <c r="G127" s="1053">
        <f>F127*1.2</f>
        <v>2458.7999999999997</v>
      </c>
      <c r="H127" s="1132"/>
    </row>
    <row r="128" spans="1:8" ht="15.75">
      <c r="A128" s="1082">
        <v>11</v>
      </c>
      <c r="B128" s="1120" t="s">
        <v>97</v>
      </c>
      <c r="C128" s="1173" t="s">
        <v>96</v>
      </c>
      <c r="D128" s="1163"/>
      <c r="E128" s="1163"/>
      <c r="F128" s="1163"/>
      <c r="G128" s="1163"/>
      <c r="H128" s="1164"/>
    </row>
    <row r="129" spans="1:8" ht="15.75" customHeight="1">
      <c r="A129" s="1086"/>
      <c r="B129" s="1133"/>
      <c r="C129" s="574" t="s">
        <v>621</v>
      </c>
      <c r="D129" s="1082" t="s">
        <v>622</v>
      </c>
      <c r="E129" s="1052" t="s">
        <v>22</v>
      </c>
      <c r="F129" s="1056">
        <v>231</v>
      </c>
      <c r="G129" s="1053">
        <v>277.2</v>
      </c>
      <c r="H129" s="590" t="s">
        <v>623</v>
      </c>
    </row>
    <row r="130" spans="1:8" ht="15.75">
      <c r="A130" s="1086"/>
      <c r="B130" s="1133"/>
      <c r="C130" s="574"/>
      <c r="D130" s="1086"/>
      <c r="E130" s="1052" t="s">
        <v>38</v>
      </c>
      <c r="F130" s="1056">
        <v>340</v>
      </c>
      <c r="G130" s="1053">
        <v>408</v>
      </c>
      <c r="H130" s="1130"/>
    </row>
    <row r="131" spans="1:8" ht="15.75">
      <c r="A131" s="1086"/>
      <c r="B131" s="1133"/>
      <c r="C131" s="574"/>
      <c r="D131" s="1086"/>
      <c r="E131" s="1052" t="s">
        <v>365</v>
      </c>
      <c r="F131" s="1056">
        <v>355</v>
      </c>
      <c r="G131" s="1053">
        <v>426</v>
      </c>
      <c r="H131" s="1130"/>
    </row>
    <row r="132" spans="1:8" ht="15.75" customHeight="1">
      <c r="A132" s="1086"/>
      <c r="B132" s="1133"/>
      <c r="C132" s="574" t="s">
        <v>624</v>
      </c>
      <c r="D132" s="1086"/>
      <c r="E132" s="1052" t="s">
        <v>22</v>
      </c>
      <c r="F132" s="1056">
        <v>485</v>
      </c>
      <c r="G132" s="1053">
        <v>582</v>
      </c>
      <c r="H132" s="1130"/>
    </row>
    <row r="133" spans="1:8" ht="15.75">
      <c r="A133" s="1086"/>
      <c r="B133" s="1133"/>
      <c r="C133" s="574"/>
      <c r="D133" s="1086"/>
      <c r="E133" s="1052" t="s">
        <v>38</v>
      </c>
      <c r="F133" s="1056">
        <v>714</v>
      </c>
      <c r="G133" s="1053">
        <v>856.8</v>
      </c>
      <c r="H133" s="1130"/>
    </row>
    <row r="134" spans="1:8" ht="15.75">
      <c r="A134" s="1086"/>
      <c r="B134" s="1133"/>
      <c r="C134" s="574"/>
      <c r="D134" s="1086"/>
      <c r="E134" s="1052" t="s">
        <v>365</v>
      </c>
      <c r="F134" s="1056">
        <v>745</v>
      </c>
      <c r="G134" s="1053">
        <v>894</v>
      </c>
      <c r="H134" s="1130"/>
    </row>
    <row r="135" spans="1:8" ht="15.75" customHeight="1">
      <c r="A135" s="1086"/>
      <c r="B135" s="1133"/>
      <c r="C135" s="574" t="s">
        <v>625</v>
      </c>
      <c r="D135" s="1086"/>
      <c r="E135" s="1052" t="s">
        <v>22</v>
      </c>
      <c r="F135" s="1056">
        <v>1092</v>
      </c>
      <c r="G135" s="1053">
        <v>1310.3999999999999</v>
      </c>
      <c r="H135" s="1130"/>
    </row>
    <row r="136" spans="1:8" ht="15.75">
      <c r="A136" s="1086"/>
      <c r="B136" s="1133"/>
      <c r="C136" s="574"/>
      <c r="D136" s="1086"/>
      <c r="E136" s="1052" t="s">
        <v>38</v>
      </c>
      <c r="F136" s="1056">
        <v>1608</v>
      </c>
      <c r="G136" s="1053">
        <v>1929.6</v>
      </c>
      <c r="H136" s="1130"/>
    </row>
    <row r="137" spans="1:8" ht="15.75">
      <c r="A137" s="1086"/>
      <c r="B137" s="1133"/>
      <c r="C137" s="574"/>
      <c r="D137" s="1086"/>
      <c r="E137" s="1052" t="s">
        <v>365</v>
      </c>
      <c r="F137" s="1056">
        <v>1676</v>
      </c>
      <c r="G137" s="1053">
        <v>2011.1999999999998</v>
      </c>
      <c r="H137" s="1130"/>
    </row>
    <row r="138" spans="1:8" ht="15.75" customHeight="1">
      <c r="A138" s="1086"/>
      <c r="B138" s="1133"/>
      <c r="C138" s="574" t="s">
        <v>626</v>
      </c>
      <c r="D138" s="1086"/>
      <c r="E138" s="1052" t="s">
        <v>22</v>
      </c>
      <c r="F138" s="1056">
        <v>1940</v>
      </c>
      <c r="G138" s="1053">
        <v>2328</v>
      </c>
      <c r="H138" s="1130"/>
    </row>
    <row r="139" spans="1:8" ht="15.75">
      <c r="A139" s="1086"/>
      <c r="B139" s="1133"/>
      <c r="C139" s="574"/>
      <c r="D139" s="1086"/>
      <c r="E139" s="1052" t="s">
        <v>38</v>
      </c>
      <c r="F139" s="1056">
        <v>2856</v>
      </c>
      <c r="G139" s="1053">
        <v>3427.2</v>
      </c>
      <c r="H139" s="1130"/>
    </row>
    <row r="140" spans="1:8" ht="15.75">
      <c r="A140" s="1086"/>
      <c r="B140" s="1133"/>
      <c r="C140" s="574"/>
      <c r="D140" s="1086"/>
      <c r="E140" s="1052" t="s">
        <v>365</v>
      </c>
      <c r="F140" s="1056">
        <v>2976</v>
      </c>
      <c r="G140" s="1053">
        <v>3571.2</v>
      </c>
      <c r="H140" s="1132"/>
    </row>
    <row r="141" spans="1:8" ht="15.75" customHeight="1">
      <c r="A141" s="1086"/>
      <c r="B141" s="1121"/>
      <c r="C141" s="1134" t="s">
        <v>627</v>
      </c>
      <c r="D141" s="574" t="s">
        <v>622</v>
      </c>
      <c r="E141" s="1128" t="s">
        <v>22</v>
      </c>
      <c r="F141" s="1056">
        <v>2296</v>
      </c>
      <c r="G141" s="1053">
        <v>2755.2</v>
      </c>
      <c r="H141" s="590" t="s">
        <v>628</v>
      </c>
    </row>
    <row r="142" spans="1:8" ht="15.75">
      <c r="A142" s="1086"/>
      <c r="B142" s="1121"/>
      <c r="C142" s="1095"/>
      <c r="D142" s="574"/>
      <c r="E142" s="1128" t="s">
        <v>38</v>
      </c>
      <c r="F142" s="1056">
        <v>2653</v>
      </c>
      <c r="G142" s="1053">
        <v>3183.6</v>
      </c>
      <c r="H142" s="591"/>
    </row>
    <row r="143" spans="1:8" ht="15.75">
      <c r="A143" s="1086"/>
      <c r="B143" s="1121"/>
      <c r="C143" s="1095"/>
      <c r="D143" s="574"/>
      <c r="E143" s="1128" t="s">
        <v>365</v>
      </c>
      <c r="F143" s="1056">
        <v>2730</v>
      </c>
      <c r="G143" s="1053">
        <v>3276</v>
      </c>
      <c r="H143" s="592"/>
    </row>
    <row r="144" spans="1:8" ht="15.75" customHeight="1">
      <c r="A144" s="1086"/>
      <c r="B144" s="1121"/>
      <c r="C144" s="1095"/>
      <c r="D144" s="574"/>
      <c r="E144" s="1128" t="s">
        <v>22</v>
      </c>
      <c r="F144" s="1056">
        <v>116</v>
      </c>
      <c r="G144" s="1053">
        <v>139.2</v>
      </c>
      <c r="H144" s="590" t="s">
        <v>629</v>
      </c>
    </row>
    <row r="145" spans="1:8" ht="15.75">
      <c r="A145" s="1086"/>
      <c r="B145" s="1121"/>
      <c r="C145" s="1095"/>
      <c r="D145" s="574"/>
      <c r="E145" s="1128" t="s">
        <v>38</v>
      </c>
      <c r="F145" s="1056">
        <v>231</v>
      </c>
      <c r="G145" s="1053">
        <v>277.2</v>
      </c>
      <c r="H145" s="591"/>
    </row>
    <row r="146" spans="1:8" ht="15.75">
      <c r="A146" s="1086"/>
      <c r="B146" s="1121"/>
      <c r="C146" s="1095"/>
      <c r="D146" s="574"/>
      <c r="E146" s="1128" t="s">
        <v>365</v>
      </c>
      <c r="F146" s="1056">
        <v>231</v>
      </c>
      <c r="G146" s="1053">
        <v>277.2</v>
      </c>
      <c r="H146" s="592"/>
    </row>
    <row r="147" spans="1:8" ht="15.75" customHeight="1">
      <c r="A147" s="1086"/>
      <c r="B147" s="1121"/>
      <c r="C147" s="1087"/>
      <c r="D147" s="1155" t="s">
        <v>79</v>
      </c>
      <c r="E147" s="1052" t="s">
        <v>288</v>
      </c>
      <c r="F147" s="1053">
        <v>1117</v>
      </c>
      <c r="G147" s="1053">
        <v>1340.3999999999999</v>
      </c>
      <c r="H147" s="590" t="s">
        <v>630</v>
      </c>
    </row>
    <row r="148" spans="1:8" ht="15.75">
      <c r="A148" s="1086"/>
      <c r="B148" s="1121"/>
      <c r="C148" s="1087"/>
      <c r="D148" s="1087"/>
      <c r="E148" s="1052" t="s">
        <v>22</v>
      </c>
      <c r="F148" s="1056">
        <v>2312</v>
      </c>
      <c r="G148" s="1053">
        <v>2774.4</v>
      </c>
      <c r="H148" s="591"/>
    </row>
    <row r="149" spans="1:8" ht="15.75" customHeight="1">
      <c r="A149" s="1086"/>
      <c r="B149" s="1121"/>
      <c r="C149" s="1087"/>
      <c r="D149" s="1087"/>
      <c r="E149" s="1052" t="s">
        <v>38</v>
      </c>
      <c r="F149" s="1056">
        <v>3446</v>
      </c>
      <c r="G149" s="1053">
        <v>4135.2</v>
      </c>
      <c r="H149" s="591"/>
    </row>
    <row r="150" spans="1:8" ht="15.75">
      <c r="A150" s="1086"/>
      <c r="B150" s="1121"/>
      <c r="C150" s="1088"/>
      <c r="D150" s="1088"/>
      <c r="E150" s="1052" t="s">
        <v>365</v>
      </c>
      <c r="F150" s="1056">
        <v>3542</v>
      </c>
      <c r="G150" s="1053">
        <v>4250.4</v>
      </c>
      <c r="H150" s="592"/>
    </row>
    <row r="151" spans="1:8" ht="15.75">
      <c r="A151" s="1082">
        <v>12</v>
      </c>
      <c r="B151" s="1120" t="s">
        <v>420</v>
      </c>
      <c r="C151" s="1162" t="s">
        <v>371</v>
      </c>
      <c r="D151" s="1163"/>
      <c r="E151" s="1163"/>
      <c r="F151" s="1163"/>
      <c r="G151" s="1163"/>
      <c r="H151" s="1164"/>
    </row>
    <row r="152" spans="1:8" ht="31.5">
      <c r="A152" s="1086"/>
      <c r="B152" s="1121"/>
      <c r="C152" s="1083" t="s">
        <v>631</v>
      </c>
      <c r="D152" s="1052" t="s">
        <v>632</v>
      </c>
      <c r="E152" s="1052" t="s">
        <v>713</v>
      </c>
      <c r="F152" s="1053">
        <v>398</v>
      </c>
      <c r="G152" s="1053">
        <v>477.59999999999997</v>
      </c>
      <c r="H152" s="514" t="s">
        <v>633</v>
      </c>
    </row>
    <row r="153" spans="1:8" ht="15.75">
      <c r="A153" s="1086"/>
      <c r="B153" s="1121"/>
      <c r="C153" s="1087"/>
      <c r="D153" s="1083" t="s">
        <v>21</v>
      </c>
      <c r="E153" s="1052" t="s">
        <v>93</v>
      </c>
      <c r="F153" s="1053">
        <v>10832</v>
      </c>
      <c r="G153" s="1053">
        <v>12998.4</v>
      </c>
      <c r="H153" s="590" t="s">
        <v>634</v>
      </c>
    </row>
    <row r="154" spans="1:8" ht="15.75">
      <c r="A154" s="1090"/>
      <c r="B154" s="1131"/>
      <c r="C154" s="1088"/>
      <c r="D154" s="1088"/>
      <c r="E154" s="1052" t="s">
        <v>99</v>
      </c>
      <c r="F154" s="1053">
        <v>16504</v>
      </c>
      <c r="G154" s="1053">
        <v>19804.8</v>
      </c>
      <c r="H154" s="592"/>
    </row>
    <row r="155" spans="1:8" ht="15.75" customHeight="1">
      <c r="A155" s="1082">
        <v>13</v>
      </c>
      <c r="B155" s="1120" t="s">
        <v>103</v>
      </c>
      <c r="C155" s="1083" t="s">
        <v>105</v>
      </c>
      <c r="D155" s="1083" t="s">
        <v>220</v>
      </c>
      <c r="E155" s="1083"/>
      <c r="F155" s="1053">
        <v>603</v>
      </c>
      <c r="G155" s="1053">
        <v>723.6</v>
      </c>
      <c r="H155" s="1057" t="s">
        <v>635</v>
      </c>
    </row>
    <row r="156" spans="1:8" ht="15.75">
      <c r="A156" s="1090"/>
      <c r="B156" s="1131"/>
      <c r="C156" s="1088"/>
      <c r="D156" s="1088"/>
      <c r="E156" s="1088"/>
      <c r="F156" s="1053">
        <v>458</v>
      </c>
      <c r="G156" s="1053">
        <v>549.6</v>
      </c>
      <c r="H156" s="1057" t="s">
        <v>636</v>
      </c>
    </row>
    <row r="157" spans="1:8" ht="15.75">
      <c r="A157" s="1082">
        <v>14</v>
      </c>
      <c r="B157" s="1120" t="s">
        <v>110</v>
      </c>
      <c r="C157" s="1162" t="s">
        <v>111</v>
      </c>
      <c r="D157" s="1163"/>
      <c r="E157" s="1163"/>
      <c r="F157" s="1163"/>
      <c r="G157" s="1163"/>
      <c r="H157" s="1164"/>
    </row>
    <row r="158" spans="1:8" ht="31.5">
      <c r="A158" s="1086"/>
      <c r="B158" s="1121"/>
      <c r="C158" s="1083" t="s">
        <v>111</v>
      </c>
      <c r="D158" s="1052" t="s">
        <v>21</v>
      </c>
      <c r="E158" s="1052" t="s">
        <v>714</v>
      </c>
      <c r="F158" s="1056">
        <v>31538</v>
      </c>
      <c r="G158" s="1053">
        <v>37845.6</v>
      </c>
      <c r="H158" s="514" t="s">
        <v>637</v>
      </c>
    </row>
    <row r="159" spans="1:8" ht="31.5">
      <c r="A159" s="1090"/>
      <c r="B159" s="1131"/>
      <c r="C159" s="1088"/>
      <c r="D159" s="1052" t="s">
        <v>106</v>
      </c>
      <c r="E159" s="1052"/>
      <c r="F159" s="1053">
        <v>5301</v>
      </c>
      <c r="G159" s="1053">
        <v>6361.2</v>
      </c>
      <c r="H159" s="1057" t="s">
        <v>638</v>
      </c>
    </row>
    <row r="160" spans="1:8" ht="31.5">
      <c r="A160" s="1082">
        <v>15</v>
      </c>
      <c r="B160" s="1120" t="s">
        <v>639</v>
      </c>
      <c r="C160" s="1083" t="s">
        <v>114</v>
      </c>
      <c r="D160" s="1052" t="s">
        <v>21</v>
      </c>
      <c r="E160" s="1052" t="s">
        <v>715</v>
      </c>
      <c r="F160" s="1056">
        <v>1010</v>
      </c>
      <c r="G160" s="1053">
        <v>1212</v>
      </c>
      <c r="H160" s="514" t="s">
        <v>640</v>
      </c>
    </row>
    <row r="161" spans="1:8" ht="15.75" customHeight="1">
      <c r="A161" s="1086"/>
      <c r="B161" s="1121"/>
      <c r="C161" s="1087"/>
      <c r="D161" s="1052" t="s">
        <v>21</v>
      </c>
      <c r="E161" s="1052" t="s">
        <v>715</v>
      </c>
      <c r="F161" s="1056">
        <v>2989</v>
      </c>
      <c r="G161" s="1053">
        <v>3586.7999999999997</v>
      </c>
      <c r="H161" s="514" t="s">
        <v>641</v>
      </c>
    </row>
    <row r="162" spans="1:8" ht="15.75">
      <c r="A162" s="1090"/>
      <c r="B162" s="1131"/>
      <c r="C162" s="1088"/>
      <c r="D162" s="1052" t="s">
        <v>642</v>
      </c>
      <c r="E162" s="1052" t="s">
        <v>490</v>
      </c>
      <c r="F162" s="1056">
        <v>861</v>
      </c>
      <c r="G162" s="1053">
        <v>1033.2</v>
      </c>
      <c r="H162" s="514"/>
    </row>
    <row r="163" spans="1:8" ht="31.5">
      <c r="A163" s="515">
        <v>16</v>
      </c>
      <c r="B163" s="516" t="s">
        <v>117</v>
      </c>
      <c r="C163" s="1052" t="s">
        <v>643</v>
      </c>
      <c r="D163" s="1052" t="s">
        <v>119</v>
      </c>
      <c r="E163" s="1052"/>
      <c r="F163" s="1056">
        <v>1627</v>
      </c>
      <c r="G163" s="1053">
        <v>1952.3999999999999</v>
      </c>
      <c r="H163" s="514"/>
    </row>
    <row r="164" spans="1:8" ht="31.5">
      <c r="A164" s="515">
        <v>17</v>
      </c>
      <c r="B164" s="516" t="s">
        <v>120</v>
      </c>
      <c r="C164" s="1052" t="s">
        <v>121</v>
      </c>
      <c r="D164" s="1052" t="s">
        <v>21</v>
      </c>
      <c r="E164" s="1052" t="s">
        <v>716</v>
      </c>
      <c r="F164" s="1056">
        <v>1116</v>
      </c>
      <c r="G164" s="1053">
        <v>1158</v>
      </c>
      <c r="H164" s="514" t="s">
        <v>644</v>
      </c>
    </row>
    <row r="165" spans="1:8" ht="15.75" customHeight="1">
      <c r="A165" s="1119">
        <v>18</v>
      </c>
      <c r="B165" s="1052" t="s">
        <v>123</v>
      </c>
      <c r="C165" s="1052" t="s">
        <v>645</v>
      </c>
      <c r="D165" s="1052" t="s">
        <v>21</v>
      </c>
      <c r="E165" s="1052" t="s">
        <v>716</v>
      </c>
      <c r="F165" s="1053">
        <v>1247</v>
      </c>
      <c r="G165" s="1053">
        <v>1496.3999999999999</v>
      </c>
      <c r="H165" s="514"/>
    </row>
    <row r="166" spans="1:8" ht="15.75">
      <c r="A166" s="1082">
        <v>19</v>
      </c>
      <c r="B166" s="1083" t="s">
        <v>125</v>
      </c>
      <c r="C166" s="1162" t="s">
        <v>126</v>
      </c>
      <c r="D166" s="1163"/>
      <c r="E166" s="1163"/>
      <c r="F166" s="1163"/>
      <c r="G166" s="1163"/>
      <c r="H166" s="1164"/>
    </row>
    <row r="167" spans="1:8" ht="15.75" customHeight="1">
      <c r="A167" s="1086"/>
      <c r="B167" s="1087"/>
      <c r="C167" s="1083" t="s">
        <v>126</v>
      </c>
      <c r="D167" s="1083" t="s">
        <v>21</v>
      </c>
      <c r="E167" s="1052" t="s">
        <v>288</v>
      </c>
      <c r="F167" s="1056">
        <v>928</v>
      </c>
      <c r="G167" s="1053">
        <v>1113.6</v>
      </c>
      <c r="H167" s="590" t="s">
        <v>127</v>
      </c>
    </row>
    <row r="168" spans="1:8" ht="15.75">
      <c r="A168" s="1086"/>
      <c r="B168" s="1087"/>
      <c r="C168" s="1087"/>
      <c r="D168" s="1087"/>
      <c r="E168" s="1052" t="s">
        <v>22</v>
      </c>
      <c r="F168" s="1056">
        <v>1701</v>
      </c>
      <c r="G168" s="1053">
        <v>2041.1999999999998</v>
      </c>
      <c r="H168" s="591"/>
    </row>
    <row r="169" spans="1:8" ht="15.75">
      <c r="A169" s="1086"/>
      <c r="B169" s="1087"/>
      <c r="C169" s="1087"/>
      <c r="D169" s="1087"/>
      <c r="E169" s="1052" t="s">
        <v>38</v>
      </c>
      <c r="F169" s="1056">
        <v>2481</v>
      </c>
      <c r="G169" s="1053">
        <v>2977.2</v>
      </c>
      <c r="H169" s="591"/>
    </row>
    <row r="170" spans="1:8" ht="15.75" customHeight="1">
      <c r="A170" s="1086"/>
      <c r="B170" s="1087"/>
      <c r="C170" s="1087"/>
      <c r="D170" s="1088"/>
      <c r="E170" s="1052" t="s">
        <v>365</v>
      </c>
      <c r="F170" s="1056">
        <v>2549</v>
      </c>
      <c r="G170" s="1053">
        <v>3058.7999999999997</v>
      </c>
      <c r="H170" s="592"/>
    </row>
    <row r="171" spans="1:8" ht="78.75" customHeight="1">
      <c r="A171" s="1086"/>
      <c r="B171" s="1087"/>
      <c r="C171" s="1087"/>
      <c r="D171" s="1083" t="s">
        <v>21</v>
      </c>
      <c r="E171" s="1052" t="s">
        <v>22</v>
      </c>
      <c r="F171" s="1056">
        <v>5667</v>
      </c>
      <c r="G171" s="1053">
        <v>6800.4</v>
      </c>
      <c r="H171" s="590" t="s">
        <v>730</v>
      </c>
    </row>
    <row r="172" spans="1:8" ht="78.75" customHeight="1">
      <c r="A172" s="1086"/>
      <c r="B172" s="1087"/>
      <c r="C172" s="1087"/>
      <c r="D172" s="1088"/>
      <c r="E172" s="1052" t="s">
        <v>30</v>
      </c>
      <c r="F172" s="1056">
        <v>6595</v>
      </c>
      <c r="G172" s="1053">
        <v>7914</v>
      </c>
      <c r="H172" s="592"/>
    </row>
    <row r="173" spans="1:8" ht="78.75">
      <c r="A173" s="1086"/>
      <c r="B173" s="1087"/>
      <c r="C173" s="1087"/>
      <c r="D173" s="1052" t="s">
        <v>119</v>
      </c>
      <c r="E173" s="1052"/>
      <c r="F173" s="1135" t="s">
        <v>131</v>
      </c>
      <c r="G173" s="1136"/>
      <c r="H173" s="1057" t="s">
        <v>132</v>
      </c>
    </row>
    <row r="174" spans="1:8" ht="31.5">
      <c r="A174" s="1090"/>
      <c r="B174" s="1088"/>
      <c r="C174" s="1088"/>
      <c r="D174" s="1052" t="s">
        <v>21</v>
      </c>
      <c r="E174" s="1052" t="s">
        <v>221</v>
      </c>
      <c r="F174" s="1056">
        <v>1957</v>
      </c>
      <c r="G174" s="1053">
        <v>2348.4</v>
      </c>
      <c r="H174" s="517" t="s">
        <v>129</v>
      </c>
    </row>
    <row r="175" spans="1:8" ht="15.75">
      <c r="A175" s="1082">
        <v>20</v>
      </c>
      <c r="B175" s="1083" t="s">
        <v>389</v>
      </c>
      <c r="C175" s="1162" t="s">
        <v>134</v>
      </c>
      <c r="D175" s="1163"/>
      <c r="E175" s="1163"/>
      <c r="F175" s="1163"/>
      <c r="G175" s="1163"/>
      <c r="H175" s="1164"/>
    </row>
    <row r="176" spans="1:8" ht="33" customHeight="1">
      <c r="A176" s="1156"/>
      <c r="B176" s="1087"/>
      <c r="C176" s="1083" t="s">
        <v>134</v>
      </c>
      <c r="D176" s="1083" t="s">
        <v>106</v>
      </c>
      <c r="E176" s="1052" t="s">
        <v>646</v>
      </c>
      <c r="F176" s="1053">
        <v>5819</v>
      </c>
      <c r="G176" s="1053">
        <v>6982.8</v>
      </c>
      <c r="H176" s="590" t="s">
        <v>647</v>
      </c>
    </row>
    <row r="177" spans="1:8" ht="33" customHeight="1">
      <c r="A177" s="1156"/>
      <c r="B177" s="1087"/>
      <c r="C177" s="1087"/>
      <c r="D177" s="1088"/>
      <c r="E177" s="1052" t="s">
        <v>648</v>
      </c>
      <c r="F177" s="1053">
        <v>6984</v>
      </c>
      <c r="G177" s="1053">
        <v>8380.8</v>
      </c>
      <c r="H177" s="592"/>
    </row>
    <row r="178" spans="1:8" ht="31.5" customHeight="1">
      <c r="A178" s="1156"/>
      <c r="B178" s="1087"/>
      <c r="C178" s="1087"/>
      <c r="D178" s="1083" t="s">
        <v>106</v>
      </c>
      <c r="E178" s="1052" t="s">
        <v>646</v>
      </c>
      <c r="F178" s="1053">
        <v>2330</v>
      </c>
      <c r="G178" s="1053">
        <v>2796</v>
      </c>
      <c r="H178" s="590" t="s">
        <v>493</v>
      </c>
    </row>
    <row r="179" spans="1:8" ht="31.5" customHeight="1">
      <c r="A179" s="1156"/>
      <c r="B179" s="1087"/>
      <c r="C179" s="1087"/>
      <c r="D179" s="1088"/>
      <c r="E179" s="1052" t="s">
        <v>648</v>
      </c>
      <c r="F179" s="1053">
        <v>2910</v>
      </c>
      <c r="G179" s="1053">
        <v>3492</v>
      </c>
      <c r="H179" s="592"/>
    </row>
    <row r="180" spans="1:8" ht="33.75" customHeight="1">
      <c r="A180" s="1156"/>
      <c r="B180" s="1087"/>
      <c r="C180" s="1087"/>
      <c r="D180" s="1097" t="s">
        <v>106</v>
      </c>
      <c r="E180" s="1052" t="s">
        <v>135</v>
      </c>
      <c r="F180" s="1053">
        <v>3807</v>
      </c>
      <c r="G180" s="1053">
        <v>4568.4</v>
      </c>
      <c r="H180" s="518" t="s">
        <v>649</v>
      </c>
    </row>
    <row r="181" spans="1:8" ht="31.5">
      <c r="A181" s="1090"/>
      <c r="B181" s="1088"/>
      <c r="C181" s="1088"/>
      <c r="D181" s="1052" t="s">
        <v>21</v>
      </c>
      <c r="E181" s="1052" t="s">
        <v>716</v>
      </c>
      <c r="F181" s="1056">
        <v>3982</v>
      </c>
      <c r="G181" s="1053">
        <v>4778.4</v>
      </c>
      <c r="H181" s="1057" t="s">
        <v>650</v>
      </c>
    </row>
    <row r="182" spans="1:8" s="1167" customFormat="1" ht="15.75" customHeight="1">
      <c r="A182" s="1166" t="s">
        <v>136</v>
      </c>
      <c r="B182" s="1178"/>
      <c r="C182" s="1162" t="s">
        <v>651</v>
      </c>
      <c r="D182" s="1163"/>
      <c r="E182" s="1163"/>
      <c r="F182" s="1163"/>
      <c r="G182" s="1163"/>
      <c r="H182" s="1164"/>
    </row>
    <row r="183" spans="1:8" ht="15" customHeight="1">
      <c r="A183" s="1082">
        <v>21</v>
      </c>
      <c r="B183" s="1137" t="s">
        <v>223</v>
      </c>
      <c r="C183" s="1083" t="s">
        <v>313</v>
      </c>
      <c r="D183" s="1083" t="s">
        <v>21</v>
      </c>
      <c r="E183" s="1083" t="s">
        <v>221</v>
      </c>
      <c r="F183" s="1138" t="s">
        <v>76</v>
      </c>
      <c r="G183" s="1139"/>
      <c r="H183" s="590" t="s">
        <v>428</v>
      </c>
    </row>
    <row r="184" spans="1:8" ht="15.75" customHeight="1">
      <c r="A184" s="1090"/>
      <c r="B184" s="1140"/>
      <c r="C184" s="1088"/>
      <c r="D184" s="1088"/>
      <c r="E184" s="1087"/>
      <c r="F184" s="1141"/>
      <c r="G184" s="1142"/>
      <c r="H184" s="592"/>
    </row>
    <row r="185" spans="1:8" ht="15.75" customHeight="1">
      <c r="A185" s="1119">
        <v>22</v>
      </c>
      <c r="B185" s="1052" t="s">
        <v>143</v>
      </c>
      <c r="C185" s="1052" t="s">
        <v>144</v>
      </c>
      <c r="D185" s="1105" t="s">
        <v>21</v>
      </c>
      <c r="E185" s="1044" t="s">
        <v>221</v>
      </c>
      <c r="F185" s="1081" t="s">
        <v>225</v>
      </c>
      <c r="G185" s="1084"/>
      <c r="H185" s="514"/>
    </row>
    <row r="186" spans="1:8" ht="15.75" customHeight="1">
      <c r="A186" s="1082">
        <v>23</v>
      </c>
      <c r="B186" s="1137" t="s">
        <v>399</v>
      </c>
      <c r="C186" s="1083" t="s">
        <v>400</v>
      </c>
      <c r="D186" s="1052" t="s">
        <v>119</v>
      </c>
      <c r="E186" s="1143"/>
      <c r="F186" s="1053">
        <v>8972</v>
      </c>
      <c r="G186" s="1053">
        <v>10766.4</v>
      </c>
      <c r="H186" s="519" t="s">
        <v>317</v>
      </c>
    </row>
    <row r="187" spans="1:8" ht="15.75" customHeight="1">
      <c r="A187" s="1090"/>
      <c r="B187" s="1140"/>
      <c r="C187" s="1088"/>
      <c r="D187" s="1052" t="s">
        <v>119</v>
      </c>
      <c r="E187" s="1052"/>
      <c r="F187" s="1053">
        <v>37004</v>
      </c>
      <c r="G187" s="1053">
        <v>44404.799999999996</v>
      </c>
      <c r="H187" s="519" t="s">
        <v>652</v>
      </c>
    </row>
    <row r="188" spans="1:8" ht="31.5">
      <c r="A188" s="515">
        <v>24</v>
      </c>
      <c r="B188" s="1097" t="s">
        <v>228</v>
      </c>
      <c r="C188" s="1097" t="s">
        <v>549</v>
      </c>
      <c r="D188" s="1052" t="s">
        <v>106</v>
      </c>
      <c r="E188" s="1052" t="s">
        <v>221</v>
      </c>
      <c r="F188" s="1053">
        <v>212</v>
      </c>
      <c r="G188" s="1053">
        <v>254.39999999999998</v>
      </c>
      <c r="H188" s="514" t="s">
        <v>653</v>
      </c>
    </row>
    <row r="189" spans="1:8" ht="31.5">
      <c r="A189" s="1119">
        <v>25</v>
      </c>
      <c r="B189" s="1052" t="s">
        <v>236</v>
      </c>
      <c r="C189" s="1052" t="s">
        <v>156</v>
      </c>
      <c r="D189" s="1052" t="s">
        <v>119</v>
      </c>
      <c r="E189" s="1052"/>
      <c r="F189" s="1056">
        <v>2181.91</v>
      </c>
      <c r="G189" s="1053">
        <v>2618.292</v>
      </c>
      <c r="H189" s="513"/>
    </row>
    <row r="190" spans="1:8" s="1167" customFormat="1" ht="15.75" customHeight="1">
      <c r="A190" s="1176" t="s">
        <v>157</v>
      </c>
      <c r="B190" s="1177"/>
      <c r="C190" s="616" t="s">
        <v>158</v>
      </c>
      <c r="D190" s="1174"/>
      <c r="E190" s="1174"/>
      <c r="F190" s="1174"/>
      <c r="G190" s="1174"/>
      <c r="H190" s="1175"/>
    </row>
    <row r="191" spans="1:8" ht="15.75" customHeight="1">
      <c r="A191" s="1082">
        <v>26</v>
      </c>
      <c r="B191" s="1120" t="s">
        <v>159</v>
      </c>
      <c r="C191" s="1083" t="s">
        <v>430</v>
      </c>
      <c r="D191" s="1083" t="s">
        <v>239</v>
      </c>
      <c r="E191" s="1052" t="s">
        <v>36</v>
      </c>
      <c r="F191" s="1056">
        <v>1579</v>
      </c>
      <c r="G191" s="1053">
        <v>1894.8</v>
      </c>
      <c r="H191" s="590" t="s">
        <v>162</v>
      </c>
    </row>
    <row r="192" spans="1:8" ht="15.75">
      <c r="A192" s="1090"/>
      <c r="B192" s="1131"/>
      <c r="C192" s="1088"/>
      <c r="D192" s="1088"/>
      <c r="E192" s="1052" t="s">
        <v>99</v>
      </c>
      <c r="F192" s="1056">
        <v>1634</v>
      </c>
      <c r="G192" s="1053">
        <v>1960.8</v>
      </c>
      <c r="H192" s="592"/>
    </row>
    <row r="193" spans="1:8" ht="48.75" customHeight="1">
      <c r="A193" s="1082">
        <v>27</v>
      </c>
      <c r="B193" s="1120" t="s">
        <v>322</v>
      </c>
      <c r="C193" s="1083" t="s">
        <v>164</v>
      </c>
      <c r="D193" s="1083" t="s">
        <v>239</v>
      </c>
      <c r="E193" s="1052" t="s">
        <v>36</v>
      </c>
      <c r="F193" s="1056">
        <v>119</v>
      </c>
      <c r="G193" s="1053">
        <v>142.79999999999998</v>
      </c>
      <c r="H193" s="590" t="s">
        <v>731</v>
      </c>
    </row>
    <row r="194" spans="1:8" ht="48.75" customHeight="1">
      <c r="A194" s="1090"/>
      <c r="B194" s="1131"/>
      <c r="C194" s="1088"/>
      <c r="D194" s="1088"/>
      <c r="E194" s="1052" t="s">
        <v>38</v>
      </c>
      <c r="F194" s="1056">
        <v>170</v>
      </c>
      <c r="G194" s="1053">
        <v>204</v>
      </c>
      <c r="H194" s="592"/>
    </row>
    <row r="195" spans="1:8" ht="15.75">
      <c r="A195" s="1144">
        <v>28</v>
      </c>
      <c r="B195" s="1145" t="s">
        <v>499</v>
      </c>
      <c r="C195" s="1146" t="s">
        <v>500</v>
      </c>
      <c r="D195" s="1146" t="s">
        <v>21</v>
      </c>
      <c r="E195" s="1146" t="s">
        <v>714</v>
      </c>
      <c r="F195" s="1147">
        <v>4423</v>
      </c>
      <c r="G195" s="1148">
        <v>5307.599999999999</v>
      </c>
      <c r="H195" s="1149" t="s">
        <v>654</v>
      </c>
    </row>
    <row r="196" spans="1:8" ht="15.75" customHeight="1">
      <c r="A196" s="563" t="s">
        <v>717</v>
      </c>
      <c r="B196" s="581"/>
      <c r="C196" s="581"/>
      <c r="D196" s="581"/>
      <c r="E196" s="581"/>
      <c r="F196" s="581"/>
      <c r="G196" s="581"/>
      <c r="H196" s="582"/>
    </row>
    <row r="197" spans="1:8" ht="15.75" customHeight="1">
      <c r="A197" s="1019">
        <v>29</v>
      </c>
      <c r="B197" s="1051" t="s">
        <v>197</v>
      </c>
      <c r="C197" s="571" t="s">
        <v>198</v>
      </c>
      <c r="D197" s="572"/>
      <c r="E197" s="572"/>
      <c r="F197" s="572"/>
      <c r="G197" s="572"/>
      <c r="H197" s="1015"/>
    </row>
    <row r="198" spans="1:8" ht="21" customHeight="1">
      <c r="A198" s="1020"/>
      <c r="B198" s="884"/>
      <c r="C198" s="895" t="s">
        <v>718</v>
      </c>
      <c r="D198" s="895" t="s">
        <v>21</v>
      </c>
      <c r="E198" s="1051" t="s">
        <v>22</v>
      </c>
      <c r="F198" s="1150">
        <v>4724</v>
      </c>
      <c r="G198" s="1151">
        <v>5668.8</v>
      </c>
      <c r="H198" s="1016" t="s">
        <v>719</v>
      </c>
    </row>
    <row r="199" spans="1:8" ht="21" customHeight="1">
      <c r="A199" s="1020"/>
      <c r="B199" s="884"/>
      <c r="C199" s="896"/>
      <c r="D199" s="896"/>
      <c r="E199" s="1051" t="s">
        <v>38</v>
      </c>
      <c r="F199" s="1152">
        <v>5656</v>
      </c>
      <c r="G199" s="1151">
        <v>6787.2</v>
      </c>
      <c r="H199" s="1018"/>
    </row>
    <row r="200" spans="1:8" ht="21" customHeight="1">
      <c r="A200" s="1020"/>
      <c r="B200" s="884"/>
      <c r="C200" s="895" t="s">
        <v>720</v>
      </c>
      <c r="D200" s="895" t="s">
        <v>21</v>
      </c>
      <c r="E200" s="1051" t="s">
        <v>22</v>
      </c>
      <c r="F200" s="277">
        <v>3610</v>
      </c>
      <c r="G200" s="1151">
        <v>4332</v>
      </c>
      <c r="H200" s="1018"/>
    </row>
    <row r="201" spans="1:8" ht="21" customHeight="1">
      <c r="A201" s="1021"/>
      <c r="B201" s="884"/>
      <c r="C201" s="896"/>
      <c r="D201" s="896"/>
      <c r="E201" s="1051" t="s">
        <v>38</v>
      </c>
      <c r="F201" s="277">
        <v>4037</v>
      </c>
      <c r="G201" s="1151">
        <v>4844.4</v>
      </c>
      <c r="H201" s="1153"/>
    </row>
    <row r="202" spans="1:8" ht="15.75" customHeight="1">
      <c r="A202" s="1166" t="s">
        <v>609</v>
      </c>
      <c r="B202" s="1163"/>
      <c r="C202" s="1163"/>
      <c r="D202" s="1163"/>
      <c r="E202" s="1163"/>
      <c r="F202" s="1163"/>
      <c r="G202" s="1163"/>
      <c r="H202" s="1164"/>
    </row>
    <row r="203" spans="1:8" ht="15.75">
      <c r="A203" s="1170"/>
      <c r="B203" s="1171" t="s">
        <v>86</v>
      </c>
      <c r="C203" s="1172" t="s">
        <v>87</v>
      </c>
      <c r="D203" s="1158"/>
      <c r="E203" s="1158"/>
      <c r="F203" s="1158"/>
      <c r="G203" s="1158"/>
      <c r="H203" s="1159"/>
    </row>
    <row r="204" spans="1:8" s="1167" customFormat="1" ht="15.75" customHeight="1">
      <c r="A204" s="1082">
        <v>30</v>
      </c>
      <c r="B204" s="1120" t="s">
        <v>88</v>
      </c>
      <c r="C204" s="1162" t="s">
        <v>618</v>
      </c>
      <c r="D204" s="1163"/>
      <c r="E204" s="1163"/>
      <c r="F204" s="1163"/>
      <c r="G204" s="1163"/>
      <c r="H204" s="1164"/>
    </row>
    <row r="205" spans="1:8" ht="31.5" customHeight="1">
      <c r="A205" s="1086"/>
      <c r="B205" s="1121"/>
      <c r="C205" s="1052" t="s">
        <v>283</v>
      </c>
      <c r="D205" s="1083" t="s">
        <v>91</v>
      </c>
      <c r="E205" s="1083" t="s">
        <v>22</v>
      </c>
      <c r="F205" s="1053">
        <v>1659</v>
      </c>
      <c r="G205" s="1053">
        <v>1990.8</v>
      </c>
      <c r="H205" s="1130" t="s">
        <v>721</v>
      </c>
    </row>
    <row r="206" spans="1:8" ht="31.5">
      <c r="A206" s="1086"/>
      <c r="B206" s="1121"/>
      <c r="C206" s="1052" t="s">
        <v>282</v>
      </c>
      <c r="D206" s="1088"/>
      <c r="E206" s="1088"/>
      <c r="F206" s="1053">
        <v>1001</v>
      </c>
      <c r="G206" s="1053">
        <v>1201.2</v>
      </c>
      <c r="H206" s="1130"/>
    </row>
    <row r="207" spans="1:8" ht="31.5">
      <c r="A207" s="1086"/>
      <c r="B207" s="1121"/>
      <c r="C207" s="1052" t="s">
        <v>283</v>
      </c>
      <c r="D207" s="1083" t="s">
        <v>91</v>
      </c>
      <c r="E207" s="1083" t="s">
        <v>38</v>
      </c>
      <c r="F207" s="1053">
        <v>1983</v>
      </c>
      <c r="G207" s="1053">
        <v>2379.6</v>
      </c>
      <c r="H207" s="1130"/>
    </row>
    <row r="208" spans="1:8" ht="31.5">
      <c r="A208" s="1086"/>
      <c r="B208" s="1121"/>
      <c r="C208" s="1122" t="s">
        <v>282</v>
      </c>
      <c r="D208" s="1087"/>
      <c r="E208" s="1087"/>
      <c r="F208" s="1104">
        <v>1218</v>
      </c>
      <c r="G208" s="1104">
        <v>1461.6</v>
      </c>
      <c r="H208" s="1130"/>
    </row>
    <row r="209" spans="1:8" ht="15.75">
      <c r="A209" s="574">
        <v>31</v>
      </c>
      <c r="B209" s="578" t="s">
        <v>97</v>
      </c>
      <c r="C209" s="996" t="s">
        <v>96</v>
      </c>
      <c r="D209" s="996"/>
      <c r="E209" s="996"/>
      <c r="F209" s="996"/>
      <c r="G209" s="996"/>
      <c r="H209" s="996"/>
    </row>
    <row r="210" spans="1:8" ht="15.75" customHeight="1">
      <c r="A210" s="574"/>
      <c r="B210" s="578"/>
      <c r="C210" s="574" t="s">
        <v>722</v>
      </c>
      <c r="D210" s="568" t="s">
        <v>622</v>
      </c>
      <c r="E210" s="1044" t="s">
        <v>22</v>
      </c>
      <c r="F210" s="1050">
        <v>0</v>
      </c>
      <c r="G210" s="1045">
        <v>0</v>
      </c>
      <c r="H210" s="568" t="s">
        <v>723</v>
      </c>
    </row>
    <row r="211" spans="1:8" ht="15.75">
      <c r="A211" s="574"/>
      <c r="B211" s="578"/>
      <c r="C211" s="574"/>
      <c r="D211" s="569"/>
      <c r="E211" s="1044" t="s">
        <v>38</v>
      </c>
      <c r="F211" s="1050">
        <v>0</v>
      </c>
      <c r="G211" s="1045">
        <v>0</v>
      </c>
      <c r="H211" s="569"/>
    </row>
    <row r="212" spans="1:8" ht="15.75" customHeight="1">
      <c r="A212" s="574"/>
      <c r="B212" s="578"/>
      <c r="C212" s="574" t="s">
        <v>724</v>
      </c>
      <c r="D212" s="569"/>
      <c r="E212" s="1044" t="s">
        <v>22</v>
      </c>
      <c r="F212" s="1050">
        <v>388</v>
      </c>
      <c r="G212" s="1045">
        <v>465.59999999999997</v>
      </c>
      <c r="H212" s="569"/>
    </row>
    <row r="213" spans="1:8" ht="15.75">
      <c r="A213" s="574"/>
      <c r="B213" s="578"/>
      <c r="C213" s="574"/>
      <c r="D213" s="569"/>
      <c r="E213" s="1044" t="s">
        <v>38</v>
      </c>
      <c r="F213" s="1050">
        <v>496</v>
      </c>
      <c r="G213" s="1045">
        <v>595.1999999999999</v>
      </c>
      <c r="H213" s="569"/>
    </row>
    <row r="214" spans="1:8" ht="15.75" customHeight="1">
      <c r="A214" s="574"/>
      <c r="B214" s="578"/>
      <c r="C214" s="574" t="s">
        <v>725</v>
      </c>
      <c r="D214" s="569"/>
      <c r="E214" s="1044" t="s">
        <v>22</v>
      </c>
      <c r="F214" s="1050">
        <v>560</v>
      </c>
      <c r="G214" s="1045">
        <v>672</v>
      </c>
      <c r="H214" s="569"/>
    </row>
    <row r="215" spans="1:8" ht="15.75">
      <c r="A215" s="574"/>
      <c r="B215" s="578"/>
      <c r="C215" s="574"/>
      <c r="D215" s="569"/>
      <c r="E215" s="1044" t="s">
        <v>38</v>
      </c>
      <c r="F215" s="1050">
        <v>740</v>
      </c>
      <c r="G215" s="1045">
        <v>888</v>
      </c>
      <c r="H215" s="569"/>
    </row>
    <row r="216" spans="1:8" ht="15.75" customHeight="1">
      <c r="A216" s="574"/>
      <c r="B216" s="578"/>
      <c r="C216" s="574" t="s">
        <v>726</v>
      </c>
      <c r="D216" s="569"/>
      <c r="E216" s="1044" t="s">
        <v>22</v>
      </c>
      <c r="F216" s="1050">
        <v>818</v>
      </c>
      <c r="G216" s="1045">
        <v>981.5999999999999</v>
      </c>
      <c r="H216" s="569"/>
    </row>
    <row r="217" spans="1:8" ht="15.75">
      <c r="A217" s="574"/>
      <c r="B217" s="578"/>
      <c r="C217" s="574"/>
      <c r="D217" s="569"/>
      <c r="E217" s="1044" t="s">
        <v>38</v>
      </c>
      <c r="F217" s="1050">
        <v>1106</v>
      </c>
      <c r="G217" s="1045">
        <v>1327.2</v>
      </c>
      <c r="H217" s="569"/>
    </row>
    <row r="218" spans="1:8" ht="15.75" customHeight="1">
      <c r="A218" s="574"/>
      <c r="B218" s="578"/>
      <c r="C218" s="574" t="s">
        <v>727</v>
      </c>
      <c r="D218" s="569"/>
      <c r="E218" s="1044" t="s">
        <v>22</v>
      </c>
      <c r="F218" s="1050">
        <v>990</v>
      </c>
      <c r="G218" s="1045">
        <v>1188</v>
      </c>
      <c r="H218" s="569"/>
    </row>
    <row r="219" spans="1:8" ht="15.75">
      <c r="A219" s="574"/>
      <c r="B219" s="578"/>
      <c r="C219" s="574"/>
      <c r="D219" s="570"/>
      <c r="E219" s="1044" t="s">
        <v>38</v>
      </c>
      <c r="F219" s="1050">
        <v>1428</v>
      </c>
      <c r="G219" s="1045">
        <v>1713.6</v>
      </c>
      <c r="H219" s="570"/>
    </row>
    <row r="220" spans="1:8" ht="61.5" customHeight="1">
      <c r="A220" s="574"/>
      <c r="B220" s="578"/>
      <c r="C220" s="574" t="s">
        <v>627</v>
      </c>
      <c r="D220" s="574" t="s">
        <v>622</v>
      </c>
      <c r="E220" s="1044" t="s">
        <v>22</v>
      </c>
      <c r="F220" s="1050">
        <v>301</v>
      </c>
      <c r="G220" s="1045">
        <v>361.2</v>
      </c>
      <c r="H220" s="577" t="s">
        <v>751</v>
      </c>
    </row>
    <row r="221" spans="1:8" ht="61.5" customHeight="1">
      <c r="A221" s="574"/>
      <c r="B221" s="578"/>
      <c r="C221" s="574"/>
      <c r="D221" s="574"/>
      <c r="E221" s="1044" t="s">
        <v>38</v>
      </c>
      <c r="F221" s="1050">
        <v>374</v>
      </c>
      <c r="G221" s="1045">
        <v>448.8</v>
      </c>
      <c r="H221" s="577"/>
    </row>
    <row r="222" spans="1:8" ht="30" customHeight="1">
      <c r="A222" s="574"/>
      <c r="B222" s="578"/>
      <c r="C222" s="574" t="s">
        <v>627</v>
      </c>
      <c r="D222" s="574" t="s">
        <v>622</v>
      </c>
      <c r="E222" s="1044" t="s">
        <v>22</v>
      </c>
      <c r="F222" s="1050">
        <v>240</v>
      </c>
      <c r="G222" s="1045">
        <v>288</v>
      </c>
      <c r="H222" s="577" t="s">
        <v>629</v>
      </c>
    </row>
    <row r="223" spans="1:8" ht="30" customHeight="1">
      <c r="A223" s="574"/>
      <c r="B223" s="578"/>
      <c r="C223" s="574"/>
      <c r="D223" s="574"/>
      <c r="E223" s="1044" t="s">
        <v>38</v>
      </c>
      <c r="F223" s="1050">
        <v>351</v>
      </c>
      <c r="G223" s="1045">
        <v>421.2</v>
      </c>
      <c r="H223" s="577"/>
    </row>
    <row r="224" spans="1:8" ht="15.75">
      <c r="A224" s="1082">
        <v>32</v>
      </c>
      <c r="B224" s="1154"/>
      <c r="C224" s="1173" t="s">
        <v>134</v>
      </c>
      <c r="D224" s="1163"/>
      <c r="E224" s="1163"/>
      <c r="F224" s="1163"/>
      <c r="G224" s="1163"/>
      <c r="H224" s="1164"/>
    </row>
    <row r="225" spans="1:8" ht="31.5">
      <c r="A225" s="1079"/>
      <c r="B225" s="1044" t="s">
        <v>389</v>
      </c>
      <c r="C225" s="1044" t="s">
        <v>134</v>
      </c>
      <c r="D225" s="1128" t="s">
        <v>21</v>
      </c>
      <c r="E225" s="1052" t="s">
        <v>714</v>
      </c>
      <c r="F225" s="1056">
        <v>3982</v>
      </c>
      <c r="G225" s="1053">
        <v>4778.4</v>
      </c>
      <c r="H225" s="1057" t="s">
        <v>728</v>
      </c>
    </row>
    <row r="227" spans="1:5" ht="15.75">
      <c r="A227" s="1054" t="s">
        <v>166</v>
      </c>
      <c r="B227" s="1039"/>
      <c r="D227" s="392"/>
      <c r="E227" s="1041"/>
    </row>
    <row r="228" spans="1:5" ht="15.75">
      <c r="A228" s="1054"/>
      <c r="B228" s="1039"/>
      <c r="D228" s="392"/>
      <c r="E228" s="1041"/>
    </row>
    <row r="229" spans="1:5" ht="15.75">
      <c r="A229" s="520" t="s">
        <v>167</v>
      </c>
      <c r="B229" s="521"/>
      <c r="C229" s="521"/>
      <c r="D229" s="522"/>
      <c r="E229" s="1179" t="s">
        <v>168</v>
      </c>
    </row>
    <row r="230" spans="1:5" ht="15.75">
      <c r="A230" s="1054"/>
      <c r="B230" s="1039"/>
      <c r="D230" s="392"/>
      <c r="E230" s="392"/>
    </row>
    <row r="231" spans="1:5" ht="15.75">
      <c r="A231" s="1054" t="s">
        <v>169</v>
      </c>
      <c r="B231" s="1039"/>
      <c r="D231" s="392"/>
      <c r="E231" s="392" t="s">
        <v>170</v>
      </c>
    </row>
    <row r="232" spans="1:5" ht="15.75">
      <c r="A232" s="1054"/>
      <c r="B232" s="1039"/>
      <c r="D232" s="392"/>
      <c r="E232" s="392"/>
    </row>
    <row r="233" spans="1:5" ht="15.75">
      <c r="A233" s="1054" t="s">
        <v>171</v>
      </c>
      <c r="B233" s="1039"/>
      <c r="D233" s="392"/>
      <c r="E233" s="392" t="s">
        <v>433</v>
      </c>
    </row>
    <row r="234" spans="1:5" ht="15.75">
      <c r="A234" s="392"/>
      <c r="B234" s="1054"/>
      <c r="D234" s="392"/>
      <c r="E234" s="392"/>
    </row>
    <row r="235" spans="1:5" ht="15.75">
      <c r="A235" s="1054" t="s">
        <v>655</v>
      </c>
      <c r="B235" s="1039"/>
      <c r="D235" s="1055"/>
      <c r="E235" s="392" t="s">
        <v>656</v>
      </c>
    </row>
  </sheetData>
  <sheetProtection/>
  <mergeCells count="254">
    <mergeCell ref="D36:D37"/>
    <mergeCell ref="C38:C39"/>
    <mergeCell ref="H26:H27"/>
    <mergeCell ref="D147:D150"/>
    <mergeCell ref="C120:H120"/>
    <mergeCell ref="E126:E127"/>
    <mergeCell ref="D124:D125"/>
    <mergeCell ref="H102:H103"/>
    <mergeCell ref="A11:H11"/>
    <mergeCell ref="A204:A208"/>
    <mergeCell ref="A193:A194"/>
    <mergeCell ref="B193:B194"/>
    <mergeCell ref="A86:A88"/>
    <mergeCell ref="A202:H202"/>
    <mergeCell ref="C203:H203"/>
    <mergeCell ref="H121:H127"/>
    <mergeCell ref="C124:C125"/>
    <mergeCell ref="D104:D114"/>
    <mergeCell ref="A183:A184"/>
    <mergeCell ref="A190:B190"/>
    <mergeCell ref="C121:C122"/>
    <mergeCell ref="D126:D127"/>
    <mergeCell ref="C119:H119"/>
    <mergeCell ref="H198:H201"/>
    <mergeCell ref="D155:D156"/>
    <mergeCell ref="H144:H146"/>
    <mergeCell ref="H141:H143"/>
    <mergeCell ref="C128:H128"/>
    <mergeCell ref="D102:D103"/>
    <mergeCell ref="C151:H151"/>
    <mergeCell ref="C152:C154"/>
    <mergeCell ref="D153:D154"/>
    <mergeCell ref="H153:H154"/>
    <mergeCell ref="E207:E208"/>
    <mergeCell ref="E205:E206"/>
    <mergeCell ref="D205:D206"/>
    <mergeCell ref="A196:H196"/>
    <mergeCell ref="A197:A201"/>
    <mergeCell ref="C197:H197"/>
    <mergeCell ref="B198:B201"/>
    <mergeCell ref="C198:C199"/>
    <mergeCell ref="D198:D199"/>
    <mergeCell ref="C200:C201"/>
    <mergeCell ref="C160:C162"/>
    <mergeCell ref="C193:C194"/>
    <mergeCell ref="D222:D223"/>
    <mergeCell ref="C222:C223"/>
    <mergeCell ref="C220:C221"/>
    <mergeCell ref="D220:D221"/>
    <mergeCell ref="D207:D208"/>
    <mergeCell ref="D200:D201"/>
    <mergeCell ref="D193:D194"/>
    <mergeCell ref="C209:H209"/>
    <mergeCell ref="C186:C187"/>
    <mergeCell ref="C182:H182"/>
    <mergeCell ref="A166:A174"/>
    <mergeCell ref="A175:A181"/>
    <mergeCell ref="B157:B159"/>
    <mergeCell ref="C175:H175"/>
    <mergeCell ref="C176:C181"/>
    <mergeCell ref="H178:H179"/>
    <mergeCell ref="D178:D179"/>
    <mergeCell ref="D176:D177"/>
    <mergeCell ref="B166:B174"/>
    <mergeCell ref="B175:B181"/>
    <mergeCell ref="H167:H170"/>
    <mergeCell ref="H183:H184"/>
    <mergeCell ref="C167:C174"/>
    <mergeCell ref="D167:D170"/>
    <mergeCell ref="F173:G173"/>
    <mergeCell ref="H176:H177"/>
    <mergeCell ref="C166:H166"/>
    <mergeCell ref="B183:B184"/>
    <mergeCell ref="C183:C184"/>
    <mergeCell ref="D183:D184"/>
    <mergeCell ref="E183:E184"/>
    <mergeCell ref="F183:G184"/>
    <mergeCell ref="A182:B182"/>
    <mergeCell ref="H193:H194"/>
    <mergeCell ref="F185:G185"/>
    <mergeCell ref="C190:H190"/>
    <mergeCell ref="A191:A192"/>
    <mergeCell ref="B191:B192"/>
    <mergeCell ref="C191:C192"/>
    <mergeCell ref="D191:D192"/>
    <mergeCell ref="H191:H192"/>
    <mergeCell ref="A186:A187"/>
    <mergeCell ref="B186:B187"/>
    <mergeCell ref="A14:H14"/>
    <mergeCell ref="C15:H15"/>
    <mergeCell ref="E155:E156"/>
    <mergeCell ref="C157:H157"/>
    <mergeCell ref="C158:C159"/>
    <mergeCell ref="D171:D172"/>
    <mergeCell ref="H171:H172"/>
    <mergeCell ref="A157:A159"/>
    <mergeCell ref="A160:A162"/>
    <mergeCell ref="B160:B162"/>
    <mergeCell ref="A19:A21"/>
    <mergeCell ref="H19:H21"/>
    <mergeCell ref="A22:A24"/>
    <mergeCell ref="B86:B88"/>
    <mergeCell ref="D48:D49"/>
    <mergeCell ref="F16:G16"/>
    <mergeCell ref="H16:H18"/>
    <mergeCell ref="F17:G17"/>
    <mergeCell ref="F18:G18"/>
    <mergeCell ref="A16:A18"/>
    <mergeCell ref="B16:B18"/>
    <mergeCell ref="C16:C18"/>
    <mergeCell ref="D16:D17"/>
    <mergeCell ref="C212:C213"/>
    <mergeCell ref="C214:C215"/>
    <mergeCell ref="C216:C217"/>
    <mergeCell ref="C218:C219"/>
    <mergeCell ref="H222:H223"/>
    <mergeCell ref="H220:H221"/>
    <mergeCell ref="A224:A225"/>
    <mergeCell ref="C224:H224"/>
    <mergeCell ref="B204:B208"/>
    <mergeCell ref="C204:H204"/>
    <mergeCell ref="H205:H208"/>
    <mergeCell ref="C210:C211"/>
    <mergeCell ref="H210:H219"/>
    <mergeCell ref="D210:D219"/>
    <mergeCell ref="A209:A223"/>
    <mergeCell ref="B209:B223"/>
    <mergeCell ref="A25:A85"/>
    <mergeCell ref="B25:B85"/>
    <mergeCell ref="D80:D81"/>
    <mergeCell ref="C54:C55"/>
    <mergeCell ref="D54:D55"/>
    <mergeCell ref="C60:C61"/>
    <mergeCell ref="C52:C53"/>
    <mergeCell ref="D52:D53"/>
    <mergeCell ref="D40:D41"/>
    <mergeCell ref="C36:C37"/>
    <mergeCell ref="A155:A156"/>
    <mergeCell ref="B155:B156"/>
    <mergeCell ref="D115:D116"/>
    <mergeCell ref="A120:A127"/>
    <mergeCell ref="D121:D123"/>
    <mergeCell ref="D129:D140"/>
    <mergeCell ref="D141:D146"/>
    <mergeCell ref="C104:C118"/>
    <mergeCell ref="B128:B150"/>
    <mergeCell ref="B120:B127"/>
    <mergeCell ref="D42:D43"/>
    <mergeCell ref="C48:C49"/>
    <mergeCell ref="C40:C41"/>
    <mergeCell ref="C34:C35"/>
    <mergeCell ref="D38:D39"/>
    <mergeCell ref="C155:C156"/>
    <mergeCell ref="C44:C45"/>
    <mergeCell ref="D44:D45"/>
    <mergeCell ref="C46:C47"/>
    <mergeCell ref="D46:D47"/>
    <mergeCell ref="B19:B21"/>
    <mergeCell ref="B22:B24"/>
    <mergeCell ref="D50:D51"/>
    <mergeCell ref="D28:D29"/>
    <mergeCell ref="C30:C31"/>
    <mergeCell ref="C26:C29"/>
    <mergeCell ref="D26:D27"/>
    <mergeCell ref="C50:C51"/>
    <mergeCell ref="D34:D35"/>
    <mergeCell ref="C42:C43"/>
    <mergeCell ref="H22:H24"/>
    <mergeCell ref="F24:G24"/>
    <mergeCell ref="F20:G20"/>
    <mergeCell ref="F21:G21"/>
    <mergeCell ref="F22:G22"/>
    <mergeCell ref="D30:D31"/>
    <mergeCell ref="H28:H85"/>
    <mergeCell ref="D82:D83"/>
    <mergeCell ref="D84:D85"/>
    <mergeCell ref="D76:D77"/>
    <mergeCell ref="F23:G23"/>
    <mergeCell ref="F19:G19"/>
    <mergeCell ref="C22:C24"/>
    <mergeCell ref="D22:D23"/>
    <mergeCell ref="C32:C33"/>
    <mergeCell ref="D32:D33"/>
    <mergeCell ref="C19:C21"/>
    <mergeCell ref="D19:D20"/>
    <mergeCell ref="C132:C134"/>
    <mergeCell ref="C135:C137"/>
    <mergeCell ref="C138:C140"/>
    <mergeCell ref="C141:C150"/>
    <mergeCell ref="B151:B154"/>
    <mergeCell ref="A128:A150"/>
    <mergeCell ref="A151:A154"/>
    <mergeCell ref="C96:C97"/>
    <mergeCell ref="A98:H98"/>
    <mergeCell ref="A99:B99"/>
    <mergeCell ref="A100:B100"/>
    <mergeCell ref="B102:B103"/>
    <mergeCell ref="C129:C131"/>
    <mergeCell ref="A104:A118"/>
    <mergeCell ref="B104:B118"/>
    <mergeCell ref="C102:C103"/>
    <mergeCell ref="A102:A103"/>
    <mergeCell ref="G109:G114"/>
    <mergeCell ref="C100:H100"/>
    <mergeCell ref="F102:G102"/>
    <mergeCell ref="F103:G103"/>
    <mergeCell ref="C99:H99"/>
    <mergeCell ref="F101:G101"/>
    <mergeCell ref="C82:C83"/>
    <mergeCell ref="C84:C85"/>
    <mergeCell ref="C76:C77"/>
    <mergeCell ref="H129:H140"/>
    <mergeCell ref="H147:H150"/>
    <mergeCell ref="H104:H105"/>
    <mergeCell ref="H106:H107"/>
    <mergeCell ref="H108:H114"/>
    <mergeCell ref="E109:E114"/>
    <mergeCell ref="F109:F114"/>
    <mergeCell ref="D58:D59"/>
    <mergeCell ref="C66:C67"/>
    <mergeCell ref="D60:D61"/>
    <mergeCell ref="C62:C63"/>
    <mergeCell ref="D62:D63"/>
    <mergeCell ref="C80:C81"/>
    <mergeCell ref="C89:H89"/>
    <mergeCell ref="D90:D97"/>
    <mergeCell ref="A89:A97"/>
    <mergeCell ref="B89:B97"/>
    <mergeCell ref="C90:C92"/>
    <mergeCell ref="F87:G87"/>
    <mergeCell ref="F88:G88"/>
    <mergeCell ref="C86:C88"/>
    <mergeCell ref="C93:C95"/>
    <mergeCell ref="F86:G86"/>
    <mergeCell ref="D70:D71"/>
    <mergeCell ref="C74:C75"/>
    <mergeCell ref="D74:D75"/>
    <mergeCell ref="C68:C69"/>
    <mergeCell ref="C56:C57"/>
    <mergeCell ref="D56:D57"/>
    <mergeCell ref="C58:C59"/>
    <mergeCell ref="C64:C65"/>
    <mergeCell ref="D64:D65"/>
    <mergeCell ref="D66:D67"/>
    <mergeCell ref="A8:H8"/>
    <mergeCell ref="A9:H9"/>
    <mergeCell ref="A10:H10"/>
    <mergeCell ref="D78:D79"/>
    <mergeCell ref="C78:C79"/>
    <mergeCell ref="C25:H25"/>
    <mergeCell ref="C72:C73"/>
    <mergeCell ref="D72:D73"/>
    <mergeCell ref="D68:D69"/>
    <mergeCell ref="C70:C71"/>
  </mergeCells>
  <printOptions/>
  <pageMargins left="0.11811023622047245" right="0.11811023622047245" top="0.1968503937007874" bottom="0.15748031496062992" header="0.31496062992125984" footer="0.31496062992125984"/>
  <pageSetup fitToHeight="7" fitToWidth="1" horizontalDpi="600" verticalDpi="600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0"/>
  <sheetViews>
    <sheetView zoomScale="80" zoomScaleNormal="80" zoomScalePageLayoutView="0" workbookViewId="0" topLeftCell="A1">
      <selection activeCell="H3" sqref="H3"/>
    </sheetView>
  </sheetViews>
  <sheetFormatPr defaultColWidth="9.140625" defaultRowHeight="15"/>
  <cols>
    <col min="1" max="1" width="5.140625" style="108" customWidth="1"/>
    <col min="2" max="2" width="10.7109375" style="108" customWidth="1"/>
    <col min="3" max="3" width="61.00390625" style="108" customWidth="1"/>
    <col min="4" max="4" width="14.57421875" style="108" customWidth="1"/>
    <col min="5" max="5" width="14.140625" style="108" customWidth="1"/>
    <col min="6" max="7" width="13.28125" style="108" customWidth="1"/>
    <col min="8" max="8" width="73.421875" style="108" customWidth="1"/>
    <col min="9" max="16384" width="9.140625" style="108" customWidth="1"/>
  </cols>
  <sheetData>
    <row r="1" spans="1:8" ht="15.75">
      <c r="A1" s="53"/>
      <c r="B1" s="53"/>
      <c r="C1" s="53"/>
      <c r="D1" s="54"/>
      <c r="E1" s="54"/>
      <c r="F1" s="53"/>
      <c r="H1" s="55"/>
    </row>
    <row r="2" spans="1:8" ht="15.75">
      <c r="A2" s="53"/>
      <c r="B2" s="53"/>
      <c r="C2" s="53"/>
      <c r="D2" s="54"/>
      <c r="E2" s="54"/>
      <c r="F2" s="53"/>
      <c r="H2" s="225" t="s">
        <v>0</v>
      </c>
    </row>
    <row r="3" spans="1:8" ht="15.75">
      <c r="A3" s="53"/>
      <c r="B3" s="53"/>
      <c r="C3" s="53"/>
      <c r="D3" s="54"/>
      <c r="E3" s="53"/>
      <c r="F3" s="56"/>
      <c r="H3" s="141" t="s">
        <v>1</v>
      </c>
    </row>
    <row r="4" spans="1:8" ht="15.75">
      <c r="A4" s="53"/>
      <c r="B4" s="53"/>
      <c r="C4" s="53"/>
      <c r="D4" s="54"/>
      <c r="E4" s="53"/>
      <c r="F4" s="57"/>
      <c r="H4" s="141" t="s">
        <v>2</v>
      </c>
    </row>
    <row r="5" spans="1:8" ht="15.75">
      <c r="A5" s="53"/>
      <c r="B5" s="53"/>
      <c r="C5" s="53"/>
      <c r="D5" s="54"/>
      <c r="E5" s="53"/>
      <c r="F5" s="57"/>
      <c r="H5" s="226"/>
    </row>
    <row r="6" spans="1:8" ht="15.75">
      <c r="A6" s="53"/>
      <c r="B6" s="53"/>
      <c r="C6" s="53"/>
      <c r="D6" s="54"/>
      <c r="E6" s="53"/>
      <c r="F6" s="57"/>
      <c r="H6" s="227" t="s">
        <v>3</v>
      </c>
    </row>
    <row r="7" spans="1:8" ht="15.75">
      <c r="A7" s="53"/>
      <c r="B7" s="53"/>
      <c r="C7" s="53"/>
      <c r="D7" s="54"/>
      <c r="E7" s="53"/>
      <c r="F7" s="57"/>
      <c r="H7" s="58"/>
    </row>
    <row r="8" spans="1:8" ht="15.75">
      <c r="A8" s="627" t="s">
        <v>4</v>
      </c>
      <c r="B8" s="627"/>
      <c r="C8" s="627"/>
      <c r="D8" s="627"/>
      <c r="E8" s="627"/>
      <c r="F8" s="627"/>
      <c r="G8" s="627"/>
      <c r="H8" s="627"/>
    </row>
    <row r="9" spans="1:8" ht="15.75">
      <c r="A9" s="627" t="s">
        <v>175</v>
      </c>
      <c r="B9" s="627"/>
      <c r="C9" s="627"/>
      <c r="D9" s="627"/>
      <c r="E9" s="627"/>
      <c r="F9" s="627"/>
      <c r="G9" s="627"/>
      <c r="H9" s="627"/>
    </row>
    <row r="10" spans="1:8" ht="15.75">
      <c r="A10" s="627" t="s">
        <v>176</v>
      </c>
      <c r="B10" s="627"/>
      <c r="C10" s="627"/>
      <c r="D10" s="627"/>
      <c r="E10" s="627"/>
      <c r="F10" s="627"/>
      <c r="G10" s="627"/>
      <c r="H10" s="627"/>
    </row>
    <row r="11" spans="1:8" ht="15.75" customHeight="1">
      <c r="A11" s="523" t="s">
        <v>734</v>
      </c>
      <c r="B11" s="523"/>
      <c r="C11" s="523"/>
      <c r="D11" s="523"/>
      <c r="E11" s="523"/>
      <c r="F11" s="523"/>
      <c r="G11" s="523"/>
      <c r="H11" s="523"/>
    </row>
    <row r="12" spans="1:8" ht="15.75">
      <c r="A12" s="1"/>
      <c r="B12" s="1"/>
      <c r="C12" s="1"/>
      <c r="D12" s="102"/>
      <c r="E12" s="102"/>
      <c r="F12" s="1"/>
      <c r="G12" s="4"/>
      <c r="H12" s="4"/>
    </row>
    <row r="13" spans="1:8" ht="47.25">
      <c r="A13" s="342" t="s">
        <v>8</v>
      </c>
      <c r="B13" s="343" t="s">
        <v>9</v>
      </c>
      <c r="C13" s="343" t="s">
        <v>10</v>
      </c>
      <c r="D13" s="343" t="s">
        <v>11</v>
      </c>
      <c r="E13" s="343" t="s">
        <v>12</v>
      </c>
      <c r="F13" s="343" t="s">
        <v>13</v>
      </c>
      <c r="G13" s="344" t="s">
        <v>14</v>
      </c>
      <c r="H13" s="345" t="s">
        <v>15</v>
      </c>
    </row>
    <row r="14" spans="1:8" ht="15.75" customHeight="1">
      <c r="A14" s="628" t="s">
        <v>16</v>
      </c>
      <c r="B14" s="617"/>
      <c r="C14" s="617"/>
      <c r="D14" s="617"/>
      <c r="E14" s="617"/>
      <c r="F14" s="617"/>
      <c r="G14" s="617"/>
      <c r="H14" s="618"/>
    </row>
    <row r="15" spans="1:8" ht="15.75" customHeight="1">
      <c r="A15" s="614" t="s">
        <v>17</v>
      </c>
      <c r="B15" s="615"/>
      <c r="C15" s="616" t="s">
        <v>18</v>
      </c>
      <c r="D15" s="617"/>
      <c r="E15" s="617"/>
      <c r="F15" s="617"/>
      <c r="G15" s="617"/>
      <c r="H15" s="618"/>
    </row>
    <row r="16" spans="1:8" ht="15.75" customHeight="1">
      <c r="A16" s="629" t="s">
        <v>177</v>
      </c>
      <c r="B16" s="632" t="s">
        <v>19</v>
      </c>
      <c r="C16" s="635" t="s">
        <v>20</v>
      </c>
      <c r="D16" s="636" t="s">
        <v>21</v>
      </c>
      <c r="E16" s="346" t="s">
        <v>22</v>
      </c>
      <c r="F16" s="637" t="s">
        <v>76</v>
      </c>
      <c r="G16" s="615"/>
      <c r="H16" s="638" t="s">
        <v>178</v>
      </c>
    </row>
    <row r="17" spans="1:8" ht="15.75">
      <c r="A17" s="630"/>
      <c r="B17" s="633"/>
      <c r="C17" s="633"/>
      <c r="D17" s="634"/>
      <c r="E17" s="346" t="s">
        <v>38</v>
      </c>
      <c r="F17" s="637" t="s">
        <v>76</v>
      </c>
      <c r="G17" s="615"/>
      <c r="H17" s="639"/>
    </row>
    <row r="18" spans="1:8" ht="15.75">
      <c r="A18" s="631"/>
      <c r="B18" s="634"/>
      <c r="C18" s="634"/>
      <c r="D18" s="325" t="s">
        <v>25</v>
      </c>
      <c r="E18" s="346"/>
      <c r="F18" s="637" t="s">
        <v>76</v>
      </c>
      <c r="G18" s="615"/>
      <c r="H18" s="640"/>
    </row>
    <row r="19" spans="1:8" ht="15.75" customHeight="1">
      <c r="A19" s="629" t="s">
        <v>179</v>
      </c>
      <c r="B19" s="632" t="s">
        <v>28</v>
      </c>
      <c r="C19" s="635" t="s">
        <v>180</v>
      </c>
      <c r="D19" s="636" t="s">
        <v>21</v>
      </c>
      <c r="E19" s="346" t="s">
        <v>22</v>
      </c>
      <c r="F19" s="637" t="s">
        <v>76</v>
      </c>
      <c r="G19" s="615"/>
      <c r="H19" s="638" t="s">
        <v>181</v>
      </c>
    </row>
    <row r="20" spans="1:8" ht="15.75">
      <c r="A20" s="630"/>
      <c r="B20" s="633"/>
      <c r="C20" s="633"/>
      <c r="D20" s="634"/>
      <c r="E20" s="346" t="s">
        <v>38</v>
      </c>
      <c r="F20" s="637" t="s">
        <v>76</v>
      </c>
      <c r="G20" s="615"/>
      <c r="H20" s="639"/>
    </row>
    <row r="21" spans="1:8" ht="15.75">
      <c r="A21" s="631"/>
      <c r="B21" s="634"/>
      <c r="C21" s="634"/>
      <c r="D21" s="325" t="s">
        <v>25</v>
      </c>
      <c r="E21" s="346"/>
      <c r="F21" s="637" t="s">
        <v>76</v>
      </c>
      <c r="G21" s="615"/>
      <c r="H21" s="640"/>
    </row>
    <row r="22" spans="1:8" ht="15.75" customHeight="1">
      <c r="A22" s="629" t="s">
        <v>182</v>
      </c>
      <c r="B22" s="632" t="s">
        <v>31</v>
      </c>
      <c r="C22" s="635" t="s">
        <v>32</v>
      </c>
      <c r="D22" s="636" t="s">
        <v>21</v>
      </c>
      <c r="E22" s="346" t="s">
        <v>22</v>
      </c>
      <c r="F22" s="637" t="s">
        <v>76</v>
      </c>
      <c r="G22" s="615"/>
      <c r="H22" s="638" t="s">
        <v>181</v>
      </c>
    </row>
    <row r="23" spans="1:8" ht="15.75">
      <c r="A23" s="630"/>
      <c r="B23" s="633"/>
      <c r="C23" s="633"/>
      <c r="D23" s="634"/>
      <c r="E23" s="346" t="s">
        <v>38</v>
      </c>
      <c r="F23" s="637" t="s">
        <v>76</v>
      </c>
      <c r="G23" s="615"/>
      <c r="H23" s="639"/>
    </row>
    <row r="24" spans="1:8" ht="15.75">
      <c r="A24" s="631"/>
      <c r="B24" s="634"/>
      <c r="C24" s="634"/>
      <c r="D24" s="325" t="s">
        <v>25</v>
      </c>
      <c r="E24" s="346"/>
      <c r="F24" s="637" t="s">
        <v>76</v>
      </c>
      <c r="G24" s="615"/>
      <c r="H24" s="640"/>
    </row>
    <row r="25" spans="1:8" ht="15.75" customHeight="1">
      <c r="A25" s="629" t="s">
        <v>183</v>
      </c>
      <c r="B25" s="632" t="s">
        <v>184</v>
      </c>
      <c r="C25" s="641" t="s">
        <v>34</v>
      </c>
      <c r="D25" s="617"/>
      <c r="E25" s="617"/>
      <c r="F25" s="617"/>
      <c r="G25" s="617"/>
      <c r="H25" s="618"/>
    </row>
    <row r="26" spans="1:8" ht="15.75">
      <c r="A26" s="630"/>
      <c r="B26" s="633"/>
      <c r="C26" s="642" t="s">
        <v>185</v>
      </c>
      <c r="D26" s="242" t="s">
        <v>21</v>
      </c>
      <c r="E26" s="23" t="s">
        <v>36</v>
      </c>
      <c r="F26" s="13">
        <v>6184</v>
      </c>
      <c r="G26" s="257">
        <f>F26*1.2</f>
        <v>7420.799999999999</v>
      </c>
      <c r="H26" s="643"/>
    </row>
    <row r="27" spans="1:8" ht="15.75">
      <c r="A27" s="630"/>
      <c r="B27" s="633"/>
      <c r="C27" s="642"/>
      <c r="D27" s="242" t="s">
        <v>21</v>
      </c>
      <c r="E27" s="23" t="s">
        <v>38</v>
      </c>
      <c r="F27" s="13">
        <v>8038</v>
      </c>
      <c r="G27" s="257">
        <f aca="true" t="shared" si="0" ref="G27:G49">F27*1.2</f>
        <v>9645.6</v>
      </c>
      <c r="H27" s="639"/>
    </row>
    <row r="28" spans="1:8" ht="15.75">
      <c r="A28" s="630"/>
      <c r="B28" s="633"/>
      <c r="C28" s="642" t="s">
        <v>186</v>
      </c>
      <c r="D28" s="242" t="s">
        <v>21</v>
      </c>
      <c r="E28" s="23" t="s">
        <v>36</v>
      </c>
      <c r="F28" s="13">
        <v>8554</v>
      </c>
      <c r="G28" s="257">
        <f t="shared" si="0"/>
        <v>10264.8</v>
      </c>
      <c r="H28" s="639"/>
    </row>
    <row r="29" spans="1:8" ht="15.75">
      <c r="A29" s="630"/>
      <c r="B29" s="633"/>
      <c r="C29" s="642"/>
      <c r="D29" s="242" t="s">
        <v>21</v>
      </c>
      <c r="E29" s="23" t="s">
        <v>38</v>
      </c>
      <c r="F29" s="13">
        <v>11610</v>
      </c>
      <c r="G29" s="257">
        <f t="shared" si="0"/>
        <v>13932</v>
      </c>
      <c r="H29" s="639"/>
    </row>
    <row r="30" spans="1:8" ht="15.75">
      <c r="A30" s="630"/>
      <c r="B30" s="633"/>
      <c r="C30" s="642" t="s">
        <v>187</v>
      </c>
      <c r="D30" s="242" t="s">
        <v>21</v>
      </c>
      <c r="E30" s="23" t="s">
        <v>36</v>
      </c>
      <c r="F30" s="13">
        <v>10100</v>
      </c>
      <c r="G30" s="257">
        <f t="shared" si="0"/>
        <v>12120</v>
      </c>
      <c r="H30" s="639"/>
    </row>
    <row r="31" spans="1:8" ht="15.75">
      <c r="A31" s="630"/>
      <c r="B31" s="633"/>
      <c r="C31" s="642"/>
      <c r="D31" s="242" t="s">
        <v>21</v>
      </c>
      <c r="E31" s="23" t="s">
        <v>38</v>
      </c>
      <c r="F31" s="13">
        <v>13299</v>
      </c>
      <c r="G31" s="257">
        <f t="shared" si="0"/>
        <v>15958.8</v>
      </c>
      <c r="H31" s="639"/>
    </row>
    <row r="32" spans="1:8" ht="15.75">
      <c r="A32" s="630"/>
      <c r="B32" s="633"/>
      <c r="C32" s="642" t="s">
        <v>188</v>
      </c>
      <c r="D32" s="242" t="s">
        <v>21</v>
      </c>
      <c r="E32" s="23" t="s">
        <v>36</v>
      </c>
      <c r="F32" s="13">
        <v>11336</v>
      </c>
      <c r="G32" s="257">
        <f t="shared" si="0"/>
        <v>13603.199999999999</v>
      </c>
      <c r="H32" s="639"/>
    </row>
    <row r="33" spans="1:8" ht="15.75">
      <c r="A33" s="630"/>
      <c r="B33" s="633"/>
      <c r="C33" s="642"/>
      <c r="D33" s="242" t="s">
        <v>21</v>
      </c>
      <c r="E33" s="23" t="s">
        <v>38</v>
      </c>
      <c r="F33" s="13">
        <v>13912</v>
      </c>
      <c r="G33" s="257">
        <f t="shared" si="0"/>
        <v>16694.399999999998</v>
      </c>
      <c r="H33" s="639"/>
    </row>
    <row r="34" spans="1:8" ht="15.75">
      <c r="A34" s="630"/>
      <c r="B34" s="633"/>
      <c r="C34" s="642" t="s">
        <v>189</v>
      </c>
      <c r="D34" s="242" t="s">
        <v>21</v>
      </c>
      <c r="E34" s="23" t="s">
        <v>36</v>
      </c>
      <c r="F34" s="13">
        <v>12627</v>
      </c>
      <c r="G34" s="257">
        <f t="shared" si="0"/>
        <v>15152.4</v>
      </c>
      <c r="H34" s="639"/>
    </row>
    <row r="35" spans="1:8" ht="15.75">
      <c r="A35" s="630"/>
      <c r="B35" s="633"/>
      <c r="C35" s="642"/>
      <c r="D35" s="242" t="s">
        <v>21</v>
      </c>
      <c r="E35" s="23" t="s">
        <v>38</v>
      </c>
      <c r="F35" s="13">
        <v>14368</v>
      </c>
      <c r="G35" s="257">
        <f t="shared" si="0"/>
        <v>17241.6</v>
      </c>
      <c r="H35" s="639"/>
    </row>
    <row r="36" spans="1:8" ht="15.75">
      <c r="A36" s="630"/>
      <c r="B36" s="633"/>
      <c r="C36" s="642" t="s">
        <v>190</v>
      </c>
      <c r="D36" s="242" t="s">
        <v>21</v>
      </c>
      <c r="E36" s="23" t="s">
        <v>36</v>
      </c>
      <c r="F36" s="13">
        <v>15692</v>
      </c>
      <c r="G36" s="257">
        <f t="shared" si="0"/>
        <v>18830.399999999998</v>
      </c>
      <c r="H36" s="639"/>
    </row>
    <row r="37" spans="1:8" ht="15.75">
      <c r="A37" s="630"/>
      <c r="B37" s="633"/>
      <c r="C37" s="642"/>
      <c r="D37" s="242" t="s">
        <v>21</v>
      </c>
      <c r="E37" s="23" t="s">
        <v>38</v>
      </c>
      <c r="F37" s="13">
        <v>18007</v>
      </c>
      <c r="G37" s="257">
        <f t="shared" si="0"/>
        <v>21608.399999999998</v>
      </c>
      <c r="H37" s="639"/>
    </row>
    <row r="38" spans="1:8" ht="15.75">
      <c r="A38" s="630"/>
      <c r="B38" s="633"/>
      <c r="C38" s="642" t="s">
        <v>191</v>
      </c>
      <c r="D38" s="242" t="s">
        <v>21</v>
      </c>
      <c r="E38" s="23" t="s">
        <v>36</v>
      </c>
      <c r="F38" s="13">
        <v>20741</v>
      </c>
      <c r="G38" s="257">
        <f t="shared" si="0"/>
        <v>24889.2</v>
      </c>
      <c r="H38" s="639"/>
    </row>
    <row r="39" spans="1:8" ht="15.75">
      <c r="A39" s="630"/>
      <c r="B39" s="633"/>
      <c r="C39" s="642"/>
      <c r="D39" s="242" t="s">
        <v>21</v>
      </c>
      <c r="E39" s="23" t="s">
        <v>38</v>
      </c>
      <c r="F39" s="13">
        <v>23804</v>
      </c>
      <c r="G39" s="257">
        <f t="shared" si="0"/>
        <v>28564.8</v>
      </c>
      <c r="H39" s="639"/>
    </row>
    <row r="40" spans="1:8" ht="15.75">
      <c r="A40" s="630"/>
      <c r="B40" s="633"/>
      <c r="C40" s="642" t="s">
        <v>192</v>
      </c>
      <c r="D40" s="242" t="s">
        <v>21</v>
      </c>
      <c r="E40" s="23" t="s">
        <v>36</v>
      </c>
      <c r="F40" s="13">
        <v>24350</v>
      </c>
      <c r="G40" s="257">
        <f t="shared" si="0"/>
        <v>29220</v>
      </c>
      <c r="H40" s="639"/>
    </row>
    <row r="41" spans="1:8" ht="15.75">
      <c r="A41" s="630"/>
      <c r="B41" s="633"/>
      <c r="C41" s="642"/>
      <c r="D41" s="242" t="s">
        <v>21</v>
      </c>
      <c r="E41" s="23" t="s">
        <v>38</v>
      </c>
      <c r="F41" s="13">
        <v>27943</v>
      </c>
      <c r="G41" s="257">
        <f t="shared" si="0"/>
        <v>33531.6</v>
      </c>
      <c r="H41" s="639"/>
    </row>
    <row r="42" spans="1:8" ht="15.75">
      <c r="A42" s="630"/>
      <c r="B42" s="633"/>
      <c r="C42" s="642" t="s">
        <v>193</v>
      </c>
      <c r="D42" s="242" t="s">
        <v>21</v>
      </c>
      <c r="E42" s="23" t="s">
        <v>36</v>
      </c>
      <c r="F42" s="13">
        <v>29761</v>
      </c>
      <c r="G42" s="257">
        <f t="shared" si="0"/>
        <v>35713.2</v>
      </c>
      <c r="H42" s="639"/>
    </row>
    <row r="43" spans="1:8" ht="15.75">
      <c r="A43" s="630"/>
      <c r="B43" s="633"/>
      <c r="C43" s="642"/>
      <c r="D43" s="242" t="s">
        <v>21</v>
      </c>
      <c r="E43" s="23" t="s">
        <v>38</v>
      </c>
      <c r="F43" s="13">
        <v>34153</v>
      </c>
      <c r="G43" s="257">
        <f t="shared" si="0"/>
        <v>40983.6</v>
      </c>
      <c r="H43" s="639"/>
    </row>
    <row r="44" spans="1:8" ht="15.75">
      <c r="A44" s="630"/>
      <c r="B44" s="633"/>
      <c r="C44" s="642" t="s">
        <v>194</v>
      </c>
      <c r="D44" s="242" t="s">
        <v>21</v>
      </c>
      <c r="E44" s="23" t="s">
        <v>36</v>
      </c>
      <c r="F44" s="13">
        <v>33368</v>
      </c>
      <c r="G44" s="257">
        <f t="shared" si="0"/>
        <v>40041.6</v>
      </c>
      <c r="H44" s="639"/>
    </row>
    <row r="45" spans="1:8" ht="15.75">
      <c r="A45" s="630"/>
      <c r="B45" s="633"/>
      <c r="C45" s="642"/>
      <c r="D45" s="242" t="s">
        <v>21</v>
      </c>
      <c r="E45" s="23" t="s">
        <v>38</v>
      </c>
      <c r="F45" s="13">
        <v>38293</v>
      </c>
      <c r="G45" s="257">
        <f t="shared" si="0"/>
        <v>45951.6</v>
      </c>
      <c r="H45" s="639"/>
    </row>
    <row r="46" spans="1:8" ht="15.75">
      <c r="A46" s="630"/>
      <c r="B46" s="633"/>
      <c r="C46" s="642" t="s">
        <v>195</v>
      </c>
      <c r="D46" s="242" t="s">
        <v>21</v>
      </c>
      <c r="E46" s="23" t="s">
        <v>36</v>
      </c>
      <c r="F46" s="13">
        <v>38779</v>
      </c>
      <c r="G46" s="257">
        <f t="shared" si="0"/>
        <v>46534.799999999996</v>
      </c>
      <c r="H46" s="639"/>
    </row>
    <row r="47" spans="1:8" ht="15.75">
      <c r="A47" s="630"/>
      <c r="B47" s="633"/>
      <c r="C47" s="642"/>
      <c r="D47" s="242" t="s">
        <v>21</v>
      </c>
      <c r="E47" s="23" t="s">
        <v>38</v>
      </c>
      <c r="F47" s="13">
        <v>44502</v>
      </c>
      <c r="G47" s="257">
        <f t="shared" si="0"/>
        <v>53402.4</v>
      </c>
      <c r="H47" s="639"/>
    </row>
    <row r="48" spans="1:8" ht="15.75">
      <c r="A48" s="630"/>
      <c r="B48" s="633"/>
      <c r="C48" s="642" t="s">
        <v>196</v>
      </c>
      <c r="D48" s="242" t="s">
        <v>21</v>
      </c>
      <c r="E48" s="23" t="s">
        <v>36</v>
      </c>
      <c r="F48" s="13">
        <v>51746</v>
      </c>
      <c r="G48" s="257">
        <f t="shared" si="0"/>
        <v>62095.2</v>
      </c>
      <c r="H48" s="639"/>
    </row>
    <row r="49" spans="1:8" ht="15.75">
      <c r="A49" s="630"/>
      <c r="B49" s="633"/>
      <c r="C49" s="642"/>
      <c r="D49" s="242" t="s">
        <v>21</v>
      </c>
      <c r="E49" s="23" t="s">
        <v>38</v>
      </c>
      <c r="F49" s="13">
        <v>56921</v>
      </c>
      <c r="G49" s="257">
        <f t="shared" si="0"/>
        <v>68305.2</v>
      </c>
      <c r="H49" s="639"/>
    </row>
    <row r="50" spans="1:8" ht="15.75" customHeight="1">
      <c r="A50" s="609">
        <v>5</v>
      </c>
      <c r="B50" s="529" t="s">
        <v>197</v>
      </c>
      <c r="C50" s="551" t="s">
        <v>198</v>
      </c>
      <c r="D50" s="552"/>
      <c r="E50" s="552"/>
      <c r="F50" s="552"/>
      <c r="G50" s="552"/>
      <c r="H50" s="553"/>
    </row>
    <row r="51" spans="1:8" ht="15.75" customHeight="1">
      <c r="A51" s="610"/>
      <c r="B51" s="530"/>
      <c r="C51" s="543" t="s">
        <v>199</v>
      </c>
      <c r="D51" s="23" t="s">
        <v>21</v>
      </c>
      <c r="E51" s="240" t="s">
        <v>22</v>
      </c>
      <c r="F51" s="13">
        <f>'[1]комплексы'!E13</f>
        <v>8448</v>
      </c>
      <c r="G51" s="13">
        <f aca="true" t="shared" si="1" ref="G51:G56">F51*1.2</f>
        <v>10137.6</v>
      </c>
      <c r="H51" s="23" t="s">
        <v>200</v>
      </c>
    </row>
    <row r="52" spans="1:8" ht="15.75">
      <c r="A52" s="610"/>
      <c r="B52" s="530"/>
      <c r="C52" s="605"/>
      <c r="D52" s="23" t="s">
        <v>21</v>
      </c>
      <c r="E52" s="240" t="s">
        <v>22</v>
      </c>
      <c r="F52" s="13">
        <f>'[1]комплексы'!E20</f>
        <v>8690</v>
      </c>
      <c r="G52" s="13">
        <f t="shared" si="1"/>
        <v>10428</v>
      </c>
      <c r="H52" s="23" t="s">
        <v>201</v>
      </c>
    </row>
    <row r="53" spans="1:8" ht="15.75">
      <c r="A53" s="610"/>
      <c r="B53" s="530"/>
      <c r="C53" s="544"/>
      <c r="D53" s="23" t="s">
        <v>21</v>
      </c>
      <c r="E53" s="240" t="s">
        <v>38</v>
      </c>
      <c r="F53" s="13">
        <f>'[1]комплексы'!E27</f>
        <v>8716</v>
      </c>
      <c r="G53" s="13">
        <f t="shared" si="1"/>
        <v>10459.199999999999</v>
      </c>
      <c r="H53" s="23"/>
    </row>
    <row r="54" spans="1:8" ht="15.75" customHeight="1">
      <c r="A54" s="610"/>
      <c r="B54" s="530"/>
      <c r="C54" s="543" t="s">
        <v>202</v>
      </c>
      <c r="D54" s="23" t="s">
        <v>21</v>
      </c>
      <c r="E54" s="240" t="s">
        <v>22</v>
      </c>
      <c r="F54" s="13">
        <f>'[1]комплексы'!E33</f>
        <v>5684</v>
      </c>
      <c r="G54" s="13">
        <f t="shared" si="1"/>
        <v>6820.8</v>
      </c>
      <c r="H54" s="23" t="s">
        <v>200</v>
      </c>
    </row>
    <row r="55" spans="1:8" ht="15.75">
      <c r="A55" s="610"/>
      <c r="B55" s="530"/>
      <c r="C55" s="605"/>
      <c r="D55" s="23" t="s">
        <v>21</v>
      </c>
      <c r="E55" s="240" t="s">
        <v>22</v>
      </c>
      <c r="F55" s="13">
        <f>'[1]комплексы'!E38</f>
        <v>5926</v>
      </c>
      <c r="G55" s="13">
        <f t="shared" si="1"/>
        <v>7111.2</v>
      </c>
      <c r="H55" s="23" t="s">
        <v>201</v>
      </c>
    </row>
    <row r="56" spans="1:8" ht="15.75">
      <c r="A56" s="610"/>
      <c r="B56" s="530"/>
      <c r="C56" s="544"/>
      <c r="D56" s="23" t="s">
        <v>21</v>
      </c>
      <c r="E56" s="240" t="s">
        <v>38</v>
      </c>
      <c r="F56" s="13">
        <f>'[1]комплексы'!E44</f>
        <v>5926</v>
      </c>
      <c r="G56" s="13">
        <f t="shared" si="1"/>
        <v>7111.2</v>
      </c>
      <c r="H56" s="23"/>
    </row>
    <row r="57" spans="1:8" ht="15.75" customHeight="1">
      <c r="A57" s="609">
        <v>6</v>
      </c>
      <c r="B57" s="529" t="s">
        <v>57</v>
      </c>
      <c r="C57" s="644" t="s">
        <v>58</v>
      </c>
      <c r="D57" s="642" t="s">
        <v>21</v>
      </c>
      <c r="E57" s="240" t="s">
        <v>22</v>
      </c>
      <c r="F57" s="646" t="s">
        <v>23</v>
      </c>
      <c r="G57" s="646"/>
      <c r="H57" s="23"/>
    </row>
    <row r="58" spans="1:8" ht="15.75" customHeight="1">
      <c r="A58" s="610"/>
      <c r="B58" s="530"/>
      <c r="C58" s="645"/>
      <c r="D58" s="642"/>
      <c r="E58" s="240" t="s">
        <v>38</v>
      </c>
      <c r="F58" s="646" t="s">
        <v>23</v>
      </c>
      <c r="G58" s="646"/>
      <c r="H58" s="638"/>
    </row>
    <row r="59" spans="1:8" ht="15.75" customHeight="1">
      <c r="A59" s="611"/>
      <c r="B59" s="539"/>
      <c r="C59" s="645"/>
      <c r="D59" s="23" t="s">
        <v>25</v>
      </c>
      <c r="E59" s="240"/>
      <c r="F59" s="646" t="s">
        <v>23</v>
      </c>
      <c r="G59" s="646"/>
      <c r="H59" s="639"/>
    </row>
    <row r="60" spans="1:8" ht="15.75" customHeight="1">
      <c r="A60" s="647" t="s">
        <v>68</v>
      </c>
      <c r="B60" s="648"/>
      <c r="C60" s="617"/>
      <c r="D60" s="617"/>
      <c r="E60" s="617"/>
      <c r="F60" s="617"/>
      <c r="G60" s="617"/>
      <c r="H60" s="618"/>
    </row>
    <row r="61" spans="1:8" ht="15.75" customHeight="1">
      <c r="A61" s="614" t="s">
        <v>69</v>
      </c>
      <c r="B61" s="615"/>
      <c r="C61" s="641" t="s">
        <v>70</v>
      </c>
      <c r="D61" s="617"/>
      <c r="E61" s="617"/>
      <c r="F61" s="617"/>
      <c r="G61" s="617"/>
      <c r="H61" s="618"/>
    </row>
    <row r="62" spans="1:8" ht="15.75" customHeight="1">
      <c r="A62" s="629" t="s">
        <v>203</v>
      </c>
      <c r="B62" s="632" t="s">
        <v>204</v>
      </c>
      <c r="C62" s="636" t="s">
        <v>72</v>
      </c>
      <c r="D62" s="636" t="s">
        <v>21</v>
      </c>
      <c r="E62" s="347" t="s">
        <v>22</v>
      </c>
      <c r="F62" s="637" t="s">
        <v>76</v>
      </c>
      <c r="G62" s="615"/>
      <c r="H62" s="638"/>
    </row>
    <row r="63" spans="1:8" ht="15.75">
      <c r="A63" s="630"/>
      <c r="B63" s="633"/>
      <c r="C63" s="633"/>
      <c r="D63" s="634"/>
      <c r="E63" s="347" t="s">
        <v>38</v>
      </c>
      <c r="F63" s="637" t="s">
        <v>76</v>
      </c>
      <c r="G63" s="615"/>
      <c r="H63" s="639"/>
    </row>
    <row r="64" spans="1:8" ht="15.75">
      <c r="A64" s="631"/>
      <c r="B64" s="634"/>
      <c r="C64" s="634"/>
      <c r="D64" s="346" t="s">
        <v>25</v>
      </c>
      <c r="E64" s="346"/>
      <c r="F64" s="637" t="s">
        <v>76</v>
      </c>
      <c r="G64" s="615"/>
      <c r="H64" s="640"/>
    </row>
    <row r="65" spans="1:8" ht="78.75">
      <c r="A65" s="629" t="s">
        <v>205</v>
      </c>
      <c r="B65" s="632" t="s">
        <v>73</v>
      </c>
      <c r="C65" s="636" t="s">
        <v>74</v>
      </c>
      <c r="D65" s="536" t="s">
        <v>75</v>
      </c>
      <c r="E65" s="649" t="s">
        <v>36</v>
      </c>
      <c r="F65" s="33">
        <v>300</v>
      </c>
      <c r="G65" s="33">
        <f aca="true" t="shared" si="2" ref="G65:G72">F65*1.2</f>
        <v>360</v>
      </c>
      <c r="H65" s="348" t="s">
        <v>80</v>
      </c>
    </row>
    <row r="66" spans="1:8" ht="78.75">
      <c r="A66" s="630"/>
      <c r="B66" s="633"/>
      <c r="C66" s="633"/>
      <c r="D66" s="537"/>
      <c r="E66" s="650"/>
      <c r="F66" s="26">
        <v>600</v>
      </c>
      <c r="G66" s="33">
        <f t="shared" si="2"/>
        <v>720</v>
      </c>
      <c r="H66" s="348" t="s">
        <v>81</v>
      </c>
    </row>
    <row r="67" spans="1:8" ht="78.75">
      <c r="A67" s="630"/>
      <c r="B67" s="633"/>
      <c r="C67" s="633"/>
      <c r="D67" s="538"/>
      <c r="E67" s="651"/>
      <c r="F67" s="26">
        <v>1000</v>
      </c>
      <c r="G67" s="33">
        <f t="shared" si="2"/>
        <v>1200</v>
      </c>
      <c r="H67" s="348" t="s">
        <v>82</v>
      </c>
    </row>
    <row r="68" spans="1:8" ht="78.75">
      <c r="A68" s="630"/>
      <c r="B68" s="633"/>
      <c r="C68" s="633"/>
      <c r="D68" s="536" t="s">
        <v>75</v>
      </c>
      <c r="E68" s="649" t="s">
        <v>206</v>
      </c>
      <c r="F68" s="26">
        <v>500</v>
      </c>
      <c r="G68" s="33">
        <f t="shared" si="2"/>
        <v>600</v>
      </c>
      <c r="H68" s="348" t="s">
        <v>80</v>
      </c>
    </row>
    <row r="69" spans="1:8" ht="78.75">
      <c r="A69" s="630"/>
      <c r="B69" s="633"/>
      <c r="C69" s="633"/>
      <c r="D69" s="537"/>
      <c r="E69" s="650"/>
      <c r="F69" s="26">
        <v>750</v>
      </c>
      <c r="G69" s="33">
        <f t="shared" si="2"/>
        <v>900</v>
      </c>
      <c r="H69" s="348" t="s">
        <v>81</v>
      </c>
    </row>
    <row r="70" spans="1:8" ht="78.75">
      <c r="A70" s="630"/>
      <c r="B70" s="633"/>
      <c r="C70" s="633"/>
      <c r="D70" s="538"/>
      <c r="E70" s="651"/>
      <c r="F70" s="26">
        <v>1000</v>
      </c>
      <c r="G70" s="33">
        <f t="shared" si="2"/>
        <v>1200</v>
      </c>
      <c r="H70" s="348" t="s">
        <v>82</v>
      </c>
    </row>
    <row r="71" spans="1:8" ht="78.75">
      <c r="A71" s="630"/>
      <c r="B71" s="633"/>
      <c r="C71" s="633"/>
      <c r="D71" s="527" t="s">
        <v>207</v>
      </c>
      <c r="E71" s="240" t="s">
        <v>25</v>
      </c>
      <c r="F71" s="244">
        <v>2112</v>
      </c>
      <c r="G71" s="33">
        <f t="shared" si="2"/>
        <v>2534.4</v>
      </c>
      <c r="H71" s="348" t="s">
        <v>208</v>
      </c>
    </row>
    <row r="72" spans="1:8" ht="78.75">
      <c r="A72" s="630"/>
      <c r="B72" s="633"/>
      <c r="C72" s="633"/>
      <c r="D72" s="527"/>
      <c r="E72" s="240" t="s">
        <v>25</v>
      </c>
      <c r="F72" s="244">
        <v>3168</v>
      </c>
      <c r="G72" s="33">
        <f t="shared" si="2"/>
        <v>3801.6</v>
      </c>
      <c r="H72" s="348" t="s">
        <v>85</v>
      </c>
    </row>
    <row r="73" spans="1:8" ht="63">
      <c r="A73" s="630"/>
      <c r="B73" s="633"/>
      <c r="C73" s="633"/>
      <c r="D73" s="30" t="s">
        <v>75</v>
      </c>
      <c r="E73" s="240" t="s">
        <v>21</v>
      </c>
      <c r="F73" s="30" t="s">
        <v>76</v>
      </c>
      <c r="G73" s="30"/>
      <c r="H73" s="18" t="s">
        <v>77</v>
      </c>
    </row>
    <row r="74" spans="1:8" ht="15.75">
      <c r="A74" s="630"/>
      <c r="B74" s="633"/>
      <c r="C74" s="633"/>
      <c r="D74" s="32" t="s">
        <v>78</v>
      </c>
      <c r="E74" s="240" t="s">
        <v>25</v>
      </c>
      <c r="F74" s="30" t="s">
        <v>76</v>
      </c>
      <c r="G74" s="30"/>
      <c r="H74" s="21"/>
    </row>
    <row r="75" spans="1:8" ht="15.75">
      <c r="A75" s="631"/>
      <c r="B75" s="634"/>
      <c r="C75" s="634"/>
      <c r="D75" s="349" t="s">
        <v>78</v>
      </c>
      <c r="E75" s="347" t="s">
        <v>25</v>
      </c>
      <c r="F75" s="346" t="s">
        <v>76</v>
      </c>
      <c r="G75" s="346"/>
      <c r="H75" s="350"/>
    </row>
    <row r="76" spans="1:8" ht="15.75" customHeight="1">
      <c r="A76" s="614" t="s">
        <v>86</v>
      </c>
      <c r="B76" s="615"/>
      <c r="C76" s="641" t="s">
        <v>87</v>
      </c>
      <c r="D76" s="617"/>
      <c r="E76" s="617"/>
      <c r="F76" s="617"/>
      <c r="G76" s="617"/>
      <c r="H76" s="618"/>
    </row>
    <row r="77" spans="1:8" ht="15.75">
      <c r="A77" s="543">
        <v>9</v>
      </c>
      <c r="B77" s="652" t="s">
        <v>88</v>
      </c>
      <c r="C77" s="551" t="s">
        <v>209</v>
      </c>
      <c r="D77" s="552"/>
      <c r="E77" s="552"/>
      <c r="F77" s="552"/>
      <c r="G77" s="552"/>
      <c r="H77" s="553"/>
    </row>
    <row r="78" spans="1:8" ht="47.25" customHeight="1">
      <c r="A78" s="605"/>
      <c r="B78" s="653"/>
      <c r="C78" s="18" t="s">
        <v>210</v>
      </c>
      <c r="D78" s="642" t="s">
        <v>211</v>
      </c>
      <c r="E78" s="543" t="s">
        <v>212</v>
      </c>
      <c r="F78" s="13">
        <v>1713</v>
      </c>
      <c r="G78" s="13">
        <f>F78*1.2</f>
        <v>2055.6</v>
      </c>
      <c r="H78" s="625" t="s">
        <v>213</v>
      </c>
    </row>
    <row r="79" spans="1:8" ht="47.25">
      <c r="A79" s="605"/>
      <c r="B79" s="653"/>
      <c r="C79" s="23" t="s">
        <v>214</v>
      </c>
      <c r="D79" s="642"/>
      <c r="E79" s="605"/>
      <c r="F79" s="13">
        <v>1834</v>
      </c>
      <c r="G79" s="13">
        <f>F79*1.2</f>
        <v>2200.7999999999997</v>
      </c>
      <c r="H79" s="626"/>
    </row>
    <row r="80" spans="1:8" ht="47.25">
      <c r="A80" s="605"/>
      <c r="B80" s="653"/>
      <c r="C80" s="21" t="s">
        <v>215</v>
      </c>
      <c r="D80" s="642"/>
      <c r="E80" s="544"/>
      <c r="F80" s="13">
        <v>1382</v>
      </c>
      <c r="G80" s="13">
        <f>F80*1.2</f>
        <v>1658.3999999999999</v>
      </c>
      <c r="H80" s="544"/>
    </row>
    <row r="81" spans="1:8" ht="47.25">
      <c r="A81" s="605"/>
      <c r="B81" s="653"/>
      <c r="C81" s="18" t="s">
        <v>216</v>
      </c>
      <c r="D81" s="642" t="s">
        <v>211</v>
      </c>
      <c r="E81" s="543" t="s">
        <v>38</v>
      </c>
      <c r="F81" s="13">
        <v>1834</v>
      </c>
      <c r="G81" s="13">
        <f>F81*1.2</f>
        <v>2200.7999999999997</v>
      </c>
      <c r="H81" s="609"/>
    </row>
    <row r="82" spans="1:8" ht="47.25">
      <c r="A82" s="605"/>
      <c r="B82" s="654"/>
      <c r="C82" s="18" t="s">
        <v>215</v>
      </c>
      <c r="D82" s="642"/>
      <c r="E82" s="544"/>
      <c r="F82" s="13">
        <v>1395</v>
      </c>
      <c r="G82" s="13">
        <f>F82*1.2</f>
        <v>1674</v>
      </c>
      <c r="H82" s="611"/>
    </row>
    <row r="83" spans="1:8" ht="15.75">
      <c r="A83" s="658"/>
      <c r="B83" s="659"/>
      <c r="C83" s="551" t="s">
        <v>96</v>
      </c>
      <c r="D83" s="552"/>
      <c r="E83" s="552"/>
      <c r="F83" s="552"/>
      <c r="G83" s="552"/>
      <c r="H83" s="553"/>
    </row>
    <row r="84" spans="1:8" ht="15.75" customHeight="1">
      <c r="A84" s="543">
        <v>10</v>
      </c>
      <c r="B84" s="661" t="s">
        <v>97</v>
      </c>
      <c r="C84" s="642" t="s">
        <v>217</v>
      </c>
      <c r="D84" s="642" t="s">
        <v>218</v>
      </c>
      <c r="E84" s="23" t="s">
        <v>36</v>
      </c>
      <c r="F84" s="26">
        <v>181</v>
      </c>
      <c r="G84" s="26">
        <f>F84*1.2</f>
        <v>217.2</v>
      </c>
      <c r="H84" s="351"/>
    </row>
    <row r="85" spans="1:8" ht="15.75">
      <c r="A85" s="660"/>
      <c r="B85" s="662"/>
      <c r="C85" s="642"/>
      <c r="D85" s="642"/>
      <c r="E85" s="23" t="s">
        <v>38</v>
      </c>
      <c r="F85" s="26">
        <v>356</v>
      </c>
      <c r="G85" s="26">
        <f>F85*1.2</f>
        <v>427.2</v>
      </c>
      <c r="H85" s="242"/>
    </row>
    <row r="86" spans="1:8" ht="31.5">
      <c r="A86" s="352">
        <v>11</v>
      </c>
      <c r="B86" s="353" t="s">
        <v>103</v>
      </c>
      <c r="C86" s="325" t="s">
        <v>219</v>
      </c>
      <c r="D86" s="325" t="s">
        <v>220</v>
      </c>
      <c r="E86" s="354" t="s">
        <v>221</v>
      </c>
      <c r="F86" s="347">
        <v>603</v>
      </c>
      <c r="G86" s="354">
        <f>F86*1.2</f>
        <v>723.6</v>
      </c>
      <c r="H86" s="324" t="s">
        <v>222</v>
      </c>
    </row>
    <row r="87" spans="1:8" ht="15.75" customHeight="1">
      <c r="A87" s="655" t="s">
        <v>126</v>
      </c>
      <c r="B87" s="656"/>
      <c r="C87" s="656"/>
      <c r="D87" s="656"/>
      <c r="E87" s="656"/>
      <c r="F87" s="656"/>
      <c r="G87" s="656"/>
      <c r="H87" s="657"/>
    </row>
    <row r="88" spans="1:8" s="68" customFormat="1" ht="15.75" customHeight="1">
      <c r="A88" s="242">
        <v>12</v>
      </c>
      <c r="B88" s="11" t="s">
        <v>133</v>
      </c>
      <c r="C88" s="23" t="s">
        <v>134</v>
      </c>
      <c r="D88" s="23" t="s">
        <v>106</v>
      </c>
      <c r="E88" s="23" t="s">
        <v>135</v>
      </c>
      <c r="F88" s="257">
        <v>3800</v>
      </c>
      <c r="G88" s="13">
        <f>F88*1.2</f>
        <v>4560</v>
      </c>
      <c r="H88" s="23" t="s">
        <v>729</v>
      </c>
    </row>
    <row r="89" spans="1:8" ht="15.75">
      <c r="A89" s="614" t="s">
        <v>136</v>
      </c>
      <c r="B89" s="615"/>
      <c r="C89" s="616" t="s">
        <v>137</v>
      </c>
      <c r="D89" s="617"/>
      <c r="E89" s="617"/>
      <c r="F89" s="617"/>
      <c r="G89" s="617"/>
      <c r="H89" s="618"/>
    </row>
    <row r="90" spans="1:8" ht="15.75">
      <c r="A90" s="605">
        <v>13</v>
      </c>
      <c r="B90" s="619" t="s">
        <v>223</v>
      </c>
      <c r="C90" s="543" t="s">
        <v>140</v>
      </c>
      <c r="D90" s="543" t="s">
        <v>21</v>
      </c>
      <c r="E90" s="543" t="s">
        <v>221</v>
      </c>
      <c r="F90" s="621" t="s">
        <v>76</v>
      </c>
      <c r="G90" s="622"/>
      <c r="H90" s="625" t="s">
        <v>224</v>
      </c>
    </row>
    <row r="91" spans="1:8" ht="15.75" customHeight="1">
      <c r="A91" s="605"/>
      <c r="B91" s="620"/>
      <c r="C91" s="544"/>
      <c r="D91" s="544"/>
      <c r="E91" s="544"/>
      <c r="F91" s="623"/>
      <c r="G91" s="624"/>
      <c r="H91" s="626"/>
    </row>
    <row r="92" spans="1:8" ht="15.75" customHeight="1">
      <c r="A92" s="23">
        <v>14</v>
      </c>
      <c r="B92" s="169" t="s">
        <v>143</v>
      </c>
      <c r="C92" s="23" t="s">
        <v>144</v>
      </c>
      <c r="D92" s="23" t="s">
        <v>21</v>
      </c>
      <c r="E92" s="23" t="s">
        <v>221</v>
      </c>
      <c r="F92" s="602" t="s">
        <v>225</v>
      </c>
      <c r="G92" s="599"/>
      <c r="H92" s="13" t="s">
        <v>226</v>
      </c>
    </row>
    <row r="93" spans="1:8" ht="15.75">
      <c r="A93" s="603"/>
      <c r="B93" s="604"/>
      <c r="C93" s="551" t="s">
        <v>227</v>
      </c>
      <c r="D93" s="552"/>
      <c r="E93" s="552"/>
      <c r="F93" s="552"/>
      <c r="G93" s="552"/>
      <c r="H93" s="553"/>
    </row>
    <row r="94" spans="1:8" ht="15.75">
      <c r="A94" s="543">
        <v>15</v>
      </c>
      <c r="B94" s="606" t="s">
        <v>228</v>
      </c>
      <c r="C94" s="609" t="s">
        <v>227</v>
      </c>
      <c r="D94" s="543" t="s">
        <v>229</v>
      </c>
      <c r="E94" s="543" t="s">
        <v>230</v>
      </c>
      <c r="F94" s="559" t="s">
        <v>76</v>
      </c>
      <c r="G94" s="604"/>
      <c r="H94" s="543" t="s">
        <v>231</v>
      </c>
    </row>
    <row r="95" spans="1:8" ht="15.75">
      <c r="A95" s="605"/>
      <c r="B95" s="607"/>
      <c r="C95" s="610"/>
      <c r="D95" s="544"/>
      <c r="E95" s="544"/>
      <c r="F95" s="612"/>
      <c r="G95" s="613"/>
      <c r="H95" s="544"/>
    </row>
    <row r="96" spans="1:8" ht="31.5">
      <c r="A96" s="605"/>
      <c r="B96" s="607"/>
      <c r="C96" s="610"/>
      <c r="D96" s="23" t="s">
        <v>21</v>
      </c>
      <c r="E96" s="23" t="s">
        <v>232</v>
      </c>
      <c r="F96" s="598" t="s">
        <v>76</v>
      </c>
      <c r="G96" s="599"/>
      <c r="H96" s="23" t="s">
        <v>233</v>
      </c>
    </row>
    <row r="97" spans="1:8" ht="15.75" customHeight="1">
      <c r="A97" s="544"/>
      <c r="B97" s="608"/>
      <c r="C97" s="611"/>
      <c r="D97" s="23" t="s">
        <v>106</v>
      </c>
      <c r="E97" s="23" t="s">
        <v>234</v>
      </c>
      <c r="F97" s="257">
        <v>212</v>
      </c>
      <c r="G97" s="13">
        <f>F97*1.2</f>
        <v>254.39999999999998</v>
      </c>
      <c r="H97" s="21" t="s">
        <v>235</v>
      </c>
    </row>
    <row r="98" spans="1:8" ht="31.5">
      <c r="A98" s="23">
        <v>16</v>
      </c>
      <c r="B98" s="169" t="s">
        <v>236</v>
      </c>
      <c r="C98" s="23" t="s">
        <v>156</v>
      </c>
      <c r="D98" s="23" t="s">
        <v>237</v>
      </c>
      <c r="E98" s="23" t="s">
        <v>234</v>
      </c>
      <c r="F98" s="257">
        <v>2182</v>
      </c>
      <c r="G98" s="13">
        <f>F98*1.2</f>
        <v>2618.4</v>
      </c>
      <c r="H98" s="129"/>
    </row>
    <row r="99" spans="1:8" ht="15.75">
      <c r="A99" s="600" t="s">
        <v>157</v>
      </c>
      <c r="B99" s="601"/>
      <c r="C99" s="551" t="s">
        <v>158</v>
      </c>
      <c r="D99" s="552"/>
      <c r="E99" s="552"/>
      <c r="F99" s="552"/>
      <c r="G99" s="552"/>
      <c r="H99" s="553"/>
    </row>
    <row r="100" spans="1:8" ht="31.5">
      <c r="A100" s="23">
        <v>17</v>
      </c>
      <c r="B100" s="355" t="s">
        <v>159</v>
      </c>
      <c r="C100" s="23" t="s">
        <v>238</v>
      </c>
      <c r="D100" s="23" t="s">
        <v>239</v>
      </c>
      <c r="E100" s="23" t="s">
        <v>230</v>
      </c>
      <c r="F100" s="257">
        <v>1558</v>
      </c>
      <c r="G100" s="257">
        <f>F100*1.2</f>
        <v>1869.6</v>
      </c>
      <c r="H100" s="13" t="s">
        <v>240</v>
      </c>
    </row>
    <row r="101" s="171" customFormat="1" ht="15"/>
    <row r="102" spans="1:8" s="171" customFormat="1" ht="15.75">
      <c r="A102" s="50" t="s">
        <v>166</v>
      </c>
      <c r="B102" s="1"/>
      <c r="C102" s="318"/>
      <c r="D102" s="106"/>
      <c r="E102" s="107"/>
      <c r="F102" s="318"/>
      <c r="G102" s="318"/>
      <c r="H102" s="318"/>
    </row>
    <row r="103" spans="1:8" ht="15.75">
      <c r="A103" s="67"/>
      <c r="B103" s="67"/>
      <c r="C103" s="67"/>
      <c r="D103" s="68"/>
      <c r="E103" s="53"/>
      <c r="F103" s="53"/>
      <c r="G103" s="55"/>
      <c r="H103" s="55"/>
    </row>
    <row r="104" spans="1:8" ht="15.75">
      <c r="A104" s="67" t="s">
        <v>167</v>
      </c>
      <c r="B104" s="67"/>
      <c r="C104" s="67"/>
      <c r="D104" s="68"/>
      <c r="E104" s="57" t="s">
        <v>168</v>
      </c>
      <c r="F104" s="53"/>
      <c r="G104" s="55"/>
      <c r="H104" s="55"/>
    </row>
    <row r="105" spans="1:8" ht="15.75">
      <c r="A105" s="67"/>
      <c r="B105" s="67"/>
      <c r="C105" s="67"/>
      <c r="D105" s="68"/>
      <c r="E105" s="57"/>
      <c r="F105" s="53"/>
      <c r="G105" s="55"/>
      <c r="H105" s="55"/>
    </row>
    <row r="106" spans="1:8" ht="15.75">
      <c r="A106" s="67" t="s">
        <v>169</v>
      </c>
      <c r="B106" s="67"/>
      <c r="C106" s="67"/>
      <c r="D106" s="68"/>
      <c r="E106" s="57" t="s">
        <v>170</v>
      </c>
      <c r="F106" s="53"/>
      <c r="G106" s="55"/>
      <c r="H106" s="55"/>
    </row>
    <row r="107" spans="1:8" ht="15.75">
      <c r="A107" s="67"/>
      <c r="B107" s="67"/>
      <c r="C107" s="67"/>
      <c r="D107" s="68"/>
      <c r="E107" s="57"/>
      <c r="F107" s="53"/>
      <c r="G107" s="55"/>
      <c r="H107" s="55"/>
    </row>
    <row r="108" spans="1:8" ht="15.75">
      <c r="A108" s="67" t="s">
        <v>171</v>
      </c>
      <c r="B108" s="67"/>
      <c r="C108" s="67"/>
      <c r="D108" s="68"/>
      <c r="E108" s="57" t="s">
        <v>172</v>
      </c>
      <c r="F108" s="53"/>
      <c r="G108" s="55"/>
      <c r="H108" s="55"/>
    </row>
    <row r="109" spans="1:8" ht="15.75">
      <c r="A109" s="67"/>
      <c r="B109" s="67"/>
      <c r="C109" s="67"/>
      <c r="D109" s="69"/>
      <c r="E109" s="217"/>
      <c r="F109" s="53"/>
      <c r="G109" s="55"/>
      <c r="H109" s="55"/>
    </row>
    <row r="110" spans="1:8" ht="15.75">
      <c r="A110" s="67" t="s">
        <v>242</v>
      </c>
      <c r="B110" s="67"/>
      <c r="C110" s="67"/>
      <c r="D110" s="53"/>
      <c r="E110" s="228" t="s">
        <v>243</v>
      </c>
      <c r="F110" s="53"/>
      <c r="G110" s="55"/>
      <c r="H110" s="55"/>
    </row>
  </sheetData>
  <sheetProtection/>
  <mergeCells count="119">
    <mergeCell ref="A87:H87"/>
    <mergeCell ref="H81:H82"/>
    <mergeCell ref="A83:B83"/>
    <mergeCell ref="C83:H83"/>
    <mergeCell ref="A84:A85"/>
    <mergeCell ref="B84:B85"/>
    <mergeCell ref="C84:C85"/>
    <mergeCell ref="D84:D85"/>
    <mergeCell ref="A76:B76"/>
    <mergeCell ref="C76:H76"/>
    <mergeCell ref="A77:A82"/>
    <mergeCell ref="B77:B82"/>
    <mergeCell ref="C77:H77"/>
    <mergeCell ref="D78:D80"/>
    <mergeCell ref="E78:E80"/>
    <mergeCell ref="H78:H80"/>
    <mergeCell ref="D81:D82"/>
    <mergeCell ref="E81:E82"/>
    <mergeCell ref="A65:A75"/>
    <mergeCell ref="B65:B75"/>
    <mergeCell ref="C65:C75"/>
    <mergeCell ref="D65:D67"/>
    <mergeCell ref="E65:E67"/>
    <mergeCell ref="D68:D70"/>
    <mergeCell ref="E68:E70"/>
    <mergeCell ref="D71:D72"/>
    <mergeCell ref="A62:A64"/>
    <mergeCell ref="B62:B64"/>
    <mergeCell ref="C62:C64"/>
    <mergeCell ref="D62:D63"/>
    <mergeCell ref="F62:G62"/>
    <mergeCell ref="H62:H64"/>
    <mergeCell ref="F63:G63"/>
    <mergeCell ref="F64:G64"/>
    <mergeCell ref="F58:G58"/>
    <mergeCell ref="H58:H59"/>
    <mergeCell ref="F59:G59"/>
    <mergeCell ref="A60:H60"/>
    <mergeCell ref="A61:B61"/>
    <mergeCell ref="C61:H61"/>
    <mergeCell ref="A50:A56"/>
    <mergeCell ref="B50:B56"/>
    <mergeCell ref="C50:H50"/>
    <mergeCell ref="C51:C53"/>
    <mergeCell ref="C54:C56"/>
    <mergeCell ref="A57:A59"/>
    <mergeCell ref="B57:B59"/>
    <mergeCell ref="C57:C59"/>
    <mergeCell ref="D57:D58"/>
    <mergeCell ref="F57:G57"/>
    <mergeCell ref="C38:C39"/>
    <mergeCell ref="C40:C41"/>
    <mergeCell ref="C42:C43"/>
    <mergeCell ref="C44:C45"/>
    <mergeCell ref="C46:C47"/>
    <mergeCell ref="C48:C49"/>
    <mergeCell ref="A25:A49"/>
    <mergeCell ref="B25:B49"/>
    <mergeCell ref="C25:H25"/>
    <mergeCell ref="C26:C27"/>
    <mergeCell ref="H26:H49"/>
    <mergeCell ref="C28:C29"/>
    <mergeCell ref="C30:C31"/>
    <mergeCell ref="C32:C33"/>
    <mergeCell ref="C34:C35"/>
    <mergeCell ref="C36:C37"/>
    <mergeCell ref="A22:A24"/>
    <mergeCell ref="B22:B24"/>
    <mergeCell ref="C22:C24"/>
    <mergeCell ref="D22:D23"/>
    <mergeCell ref="F22:G22"/>
    <mergeCell ref="H22:H24"/>
    <mergeCell ref="F23:G23"/>
    <mergeCell ref="F24:G24"/>
    <mergeCell ref="A19:A21"/>
    <mergeCell ref="B19:B21"/>
    <mergeCell ref="C19:C21"/>
    <mergeCell ref="D19:D20"/>
    <mergeCell ref="F19:G19"/>
    <mergeCell ref="H19:H21"/>
    <mergeCell ref="F20:G20"/>
    <mergeCell ref="F21:G21"/>
    <mergeCell ref="B16:B18"/>
    <mergeCell ref="C16:C18"/>
    <mergeCell ref="D16:D17"/>
    <mergeCell ref="F16:G16"/>
    <mergeCell ref="H16:H18"/>
    <mergeCell ref="F17:G17"/>
    <mergeCell ref="F18:G18"/>
    <mergeCell ref="F90:G91"/>
    <mergeCell ref="H90:H91"/>
    <mergeCell ref="A8:H8"/>
    <mergeCell ref="A9:H9"/>
    <mergeCell ref="A10:H10"/>
    <mergeCell ref="A11:H11"/>
    <mergeCell ref="A14:H14"/>
    <mergeCell ref="A15:B15"/>
    <mergeCell ref="C15:H15"/>
    <mergeCell ref="A16:A18"/>
    <mergeCell ref="E94:E95"/>
    <mergeCell ref="F94:G95"/>
    <mergeCell ref="H94:H95"/>
    <mergeCell ref="A89:B89"/>
    <mergeCell ref="C89:H89"/>
    <mergeCell ref="A90:A91"/>
    <mergeCell ref="B90:B91"/>
    <mergeCell ref="C90:C91"/>
    <mergeCell ref="D90:D91"/>
    <mergeCell ref="E90:E91"/>
    <mergeCell ref="F96:G96"/>
    <mergeCell ref="A99:B99"/>
    <mergeCell ref="C99:H99"/>
    <mergeCell ref="F92:G92"/>
    <mergeCell ref="A93:B93"/>
    <mergeCell ref="C93:H93"/>
    <mergeCell ref="A94:A97"/>
    <mergeCell ref="B94:B97"/>
    <mergeCell ref="C94:C97"/>
    <mergeCell ref="D94:D9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2"/>
  <sheetViews>
    <sheetView zoomScale="80" zoomScaleNormal="80" zoomScalePageLayoutView="0" workbookViewId="0" topLeftCell="A1">
      <selection activeCell="H6" sqref="H6"/>
    </sheetView>
  </sheetViews>
  <sheetFormatPr defaultColWidth="9.140625" defaultRowHeight="15"/>
  <cols>
    <col min="1" max="1" width="4.7109375" style="170" customWidth="1"/>
    <col min="2" max="2" width="10.140625" style="170" customWidth="1"/>
    <col min="3" max="3" width="59.7109375" style="170" customWidth="1"/>
    <col min="4" max="4" width="12.7109375" style="170" customWidth="1"/>
    <col min="5" max="5" width="12.8515625" style="338" customWidth="1"/>
    <col min="6" max="7" width="13.140625" style="170" customWidth="1"/>
    <col min="8" max="8" width="72.28125" style="194" customWidth="1"/>
    <col min="9" max="16384" width="9.140625" style="170" customWidth="1"/>
  </cols>
  <sheetData>
    <row r="1" spans="1:8" ht="15.75">
      <c r="A1" s="96"/>
      <c r="B1" s="97"/>
      <c r="C1" s="97"/>
      <c r="D1" s="98"/>
      <c r="E1" s="337"/>
      <c r="F1" s="98"/>
      <c r="G1" s="95"/>
      <c r="H1" s="77"/>
    </row>
    <row r="2" spans="1:9" ht="15.75">
      <c r="A2" s="96"/>
      <c r="B2" s="97"/>
      <c r="C2" s="97"/>
      <c r="D2" s="98"/>
      <c r="E2" s="337"/>
      <c r="F2" s="98"/>
      <c r="H2" s="109" t="s">
        <v>0</v>
      </c>
      <c r="I2" s="109"/>
    </row>
    <row r="3" spans="1:9" ht="15.75">
      <c r="A3" s="96"/>
      <c r="B3" s="97"/>
      <c r="C3" s="97"/>
      <c r="D3" s="98"/>
      <c r="E3" s="337"/>
      <c r="F3" s="98"/>
      <c r="H3" s="104" t="s">
        <v>1</v>
      </c>
      <c r="I3" s="104"/>
    </row>
    <row r="4" spans="1:9" ht="15.75">
      <c r="A4" s="96"/>
      <c r="B4" s="97"/>
      <c r="C4" s="97"/>
      <c r="D4" s="98"/>
      <c r="E4" s="337"/>
      <c r="F4" s="98"/>
      <c r="H4" s="110" t="s">
        <v>2</v>
      </c>
      <c r="I4" s="110"/>
    </row>
    <row r="5" spans="1:9" ht="15.75">
      <c r="A5" s="96"/>
      <c r="B5" s="97"/>
      <c r="C5" s="97"/>
      <c r="D5" s="98"/>
      <c r="E5" s="337"/>
      <c r="F5" s="98"/>
      <c r="H5" s="105"/>
      <c r="I5" s="105"/>
    </row>
    <row r="6" spans="1:9" ht="15.75">
      <c r="A6" s="96"/>
      <c r="B6" s="97"/>
      <c r="C6" s="97"/>
      <c r="D6" s="98"/>
      <c r="E6" s="337"/>
      <c r="F6" s="98"/>
      <c r="H6" s="111" t="s">
        <v>3</v>
      </c>
      <c r="I6" s="111"/>
    </row>
    <row r="7" spans="1:9" ht="15.75">
      <c r="A7" s="96"/>
      <c r="B7" s="97"/>
      <c r="C7" s="97"/>
      <c r="D7" s="98"/>
      <c r="E7" s="337"/>
      <c r="F7" s="98"/>
      <c r="H7" s="6"/>
      <c r="I7" s="144"/>
    </row>
    <row r="8" spans="1:8" ht="15.75">
      <c r="A8" s="523" t="s">
        <v>4</v>
      </c>
      <c r="B8" s="523"/>
      <c r="C8" s="523"/>
      <c r="D8" s="523"/>
      <c r="E8" s="523"/>
      <c r="F8" s="523"/>
      <c r="G8" s="523"/>
      <c r="H8" s="523"/>
    </row>
    <row r="9" spans="1:8" ht="15.75">
      <c r="A9" s="523" t="s">
        <v>175</v>
      </c>
      <c r="B9" s="523"/>
      <c r="C9" s="523"/>
      <c r="D9" s="523"/>
      <c r="E9" s="523"/>
      <c r="F9" s="523"/>
      <c r="G9" s="523"/>
      <c r="H9" s="523"/>
    </row>
    <row r="10" spans="1:8" ht="15.75">
      <c r="A10" s="523" t="s">
        <v>657</v>
      </c>
      <c r="B10" s="523"/>
      <c r="C10" s="523"/>
      <c r="D10" s="523"/>
      <c r="E10" s="523"/>
      <c r="F10" s="523"/>
      <c r="G10" s="523"/>
      <c r="H10" s="523"/>
    </row>
    <row r="11" spans="1:8" ht="15.75">
      <c r="A11" s="663" t="s">
        <v>740</v>
      </c>
      <c r="B11" s="663"/>
      <c r="C11" s="663"/>
      <c r="D11" s="663"/>
      <c r="E11" s="663"/>
      <c r="F11" s="663"/>
      <c r="G11" s="663"/>
      <c r="H11" s="663"/>
    </row>
    <row r="12" spans="1:8" ht="15.75">
      <c r="A12" s="100"/>
      <c r="B12" s="100"/>
      <c r="C12" s="100"/>
      <c r="D12" s="100"/>
      <c r="E12" s="100"/>
      <c r="F12" s="100"/>
      <c r="G12" s="100"/>
      <c r="H12" s="100"/>
    </row>
    <row r="13" spans="1:8" ht="42.75" customHeight="1">
      <c r="A13" s="420" t="s">
        <v>8</v>
      </c>
      <c r="B13" s="420" t="s">
        <v>9</v>
      </c>
      <c r="C13" s="420" t="s">
        <v>10</v>
      </c>
      <c r="D13" s="420" t="s">
        <v>11</v>
      </c>
      <c r="E13" s="420" t="s">
        <v>12</v>
      </c>
      <c r="F13" s="420" t="s">
        <v>13</v>
      </c>
      <c r="G13" s="421" t="s">
        <v>14</v>
      </c>
      <c r="H13" s="420" t="s">
        <v>15</v>
      </c>
    </row>
    <row r="14" spans="1:8" ht="15.75" customHeight="1">
      <c r="A14" s="704" t="s">
        <v>16</v>
      </c>
      <c r="B14" s="704"/>
      <c r="C14" s="704"/>
      <c r="D14" s="704"/>
      <c r="E14" s="704"/>
      <c r="F14" s="704"/>
      <c r="G14" s="704"/>
      <c r="H14" s="704"/>
    </row>
    <row r="15" spans="1:8" ht="16.5" customHeight="1" thickBot="1">
      <c r="A15" s="705" t="s">
        <v>17</v>
      </c>
      <c r="B15" s="706"/>
      <c r="C15" s="707" t="s">
        <v>18</v>
      </c>
      <c r="D15" s="707"/>
      <c r="E15" s="707"/>
      <c r="F15" s="707"/>
      <c r="G15" s="707"/>
      <c r="H15" s="707"/>
    </row>
    <row r="16" spans="1:8" ht="15.75" customHeight="1">
      <c r="A16" s="689" t="s">
        <v>177</v>
      </c>
      <c r="B16" s="692" t="s">
        <v>19</v>
      </c>
      <c r="C16" s="695" t="s">
        <v>20</v>
      </c>
      <c r="D16" s="698" t="s">
        <v>21</v>
      </c>
      <c r="E16" s="460" t="s">
        <v>22</v>
      </c>
      <c r="F16" s="698" t="s">
        <v>76</v>
      </c>
      <c r="G16" s="698"/>
      <c r="H16" s="700" t="s">
        <v>178</v>
      </c>
    </row>
    <row r="17" spans="1:8" ht="15.75">
      <c r="A17" s="690"/>
      <c r="B17" s="693"/>
      <c r="C17" s="696"/>
      <c r="D17" s="699"/>
      <c r="E17" s="424" t="s">
        <v>38</v>
      </c>
      <c r="F17" s="699" t="s">
        <v>76</v>
      </c>
      <c r="G17" s="699"/>
      <c r="H17" s="701"/>
    </row>
    <row r="18" spans="1:8" ht="16.5" thickBot="1">
      <c r="A18" s="691"/>
      <c r="B18" s="694"/>
      <c r="C18" s="697"/>
      <c r="D18" s="462" t="s">
        <v>25</v>
      </c>
      <c r="E18" s="463"/>
      <c r="F18" s="703" t="s">
        <v>76</v>
      </c>
      <c r="G18" s="703"/>
      <c r="H18" s="702"/>
    </row>
    <row r="19" spans="1:8" ht="15.75" customHeight="1">
      <c r="A19" s="689" t="s">
        <v>179</v>
      </c>
      <c r="B19" s="692" t="s">
        <v>28</v>
      </c>
      <c r="C19" s="695" t="s">
        <v>180</v>
      </c>
      <c r="D19" s="698" t="s">
        <v>21</v>
      </c>
      <c r="E19" s="460" t="s">
        <v>22</v>
      </c>
      <c r="F19" s="698" t="s">
        <v>76</v>
      </c>
      <c r="G19" s="698"/>
      <c r="H19" s="700" t="s">
        <v>181</v>
      </c>
    </row>
    <row r="20" spans="1:8" ht="15.75">
      <c r="A20" s="690"/>
      <c r="B20" s="693"/>
      <c r="C20" s="696"/>
      <c r="D20" s="699"/>
      <c r="E20" s="424" t="s">
        <v>38</v>
      </c>
      <c r="F20" s="699" t="s">
        <v>76</v>
      </c>
      <c r="G20" s="699"/>
      <c r="H20" s="701"/>
    </row>
    <row r="21" spans="1:8" ht="16.5" thickBot="1">
      <c r="A21" s="691"/>
      <c r="B21" s="694"/>
      <c r="C21" s="697"/>
      <c r="D21" s="462" t="s">
        <v>25</v>
      </c>
      <c r="E21" s="463"/>
      <c r="F21" s="703" t="s">
        <v>76</v>
      </c>
      <c r="G21" s="703"/>
      <c r="H21" s="702"/>
    </row>
    <row r="22" spans="1:8" ht="15.75" customHeight="1">
      <c r="A22" s="689" t="s">
        <v>182</v>
      </c>
      <c r="B22" s="692" t="s">
        <v>31</v>
      </c>
      <c r="C22" s="695" t="s">
        <v>32</v>
      </c>
      <c r="D22" s="698" t="s">
        <v>21</v>
      </c>
      <c r="E22" s="460" t="s">
        <v>22</v>
      </c>
      <c r="F22" s="698" t="s">
        <v>76</v>
      </c>
      <c r="G22" s="698"/>
      <c r="H22" s="700" t="s">
        <v>181</v>
      </c>
    </row>
    <row r="23" spans="1:8" ht="15.75">
      <c r="A23" s="690"/>
      <c r="B23" s="693"/>
      <c r="C23" s="696"/>
      <c r="D23" s="699"/>
      <c r="E23" s="424" t="s">
        <v>38</v>
      </c>
      <c r="F23" s="699" t="s">
        <v>76</v>
      </c>
      <c r="G23" s="699"/>
      <c r="H23" s="701"/>
    </row>
    <row r="24" spans="1:8" ht="16.5" thickBot="1">
      <c r="A24" s="691"/>
      <c r="B24" s="694"/>
      <c r="C24" s="697"/>
      <c r="D24" s="462" t="s">
        <v>25</v>
      </c>
      <c r="E24" s="463"/>
      <c r="F24" s="703" t="s">
        <v>76</v>
      </c>
      <c r="G24" s="703"/>
      <c r="H24" s="702"/>
    </row>
    <row r="25" spans="1:8" ht="16.5" customHeight="1" thickBot="1">
      <c r="A25" s="670" t="s">
        <v>183</v>
      </c>
      <c r="B25" s="683" t="s">
        <v>184</v>
      </c>
      <c r="C25" s="724" t="s">
        <v>34</v>
      </c>
      <c r="D25" s="725"/>
      <c r="E25" s="725"/>
      <c r="F25" s="725"/>
      <c r="G25" s="725"/>
      <c r="H25" s="726"/>
    </row>
    <row r="26" spans="1:8" ht="30" customHeight="1">
      <c r="A26" s="671"/>
      <c r="B26" s="708"/>
      <c r="C26" s="426" t="s">
        <v>440</v>
      </c>
      <c r="D26" s="460" t="s">
        <v>21</v>
      </c>
      <c r="E26" s="460" t="s">
        <v>714</v>
      </c>
      <c r="F26" s="476">
        <v>11828</v>
      </c>
      <c r="G26" s="476">
        <v>14193.6</v>
      </c>
      <c r="H26" s="710" t="s">
        <v>658</v>
      </c>
    </row>
    <row r="27" spans="1:8" ht="15.75">
      <c r="A27" s="671"/>
      <c r="B27" s="708"/>
      <c r="C27" s="727" t="s">
        <v>333</v>
      </c>
      <c r="D27" s="424" t="s">
        <v>21</v>
      </c>
      <c r="E27" s="424" t="s">
        <v>22</v>
      </c>
      <c r="F27" s="477">
        <v>8528</v>
      </c>
      <c r="G27" s="477">
        <v>10233.6</v>
      </c>
      <c r="H27" s="711"/>
    </row>
    <row r="28" spans="1:8" ht="15.75">
      <c r="A28" s="671"/>
      <c r="B28" s="708"/>
      <c r="C28" s="728"/>
      <c r="D28" s="424" t="s">
        <v>21</v>
      </c>
      <c r="E28" s="424" t="s">
        <v>38</v>
      </c>
      <c r="F28" s="477">
        <v>13901</v>
      </c>
      <c r="G28" s="477">
        <v>16681.2</v>
      </c>
      <c r="H28" s="711"/>
    </row>
    <row r="29" spans="1:8" ht="30">
      <c r="A29" s="671"/>
      <c r="B29" s="708"/>
      <c r="C29" s="465" t="s">
        <v>407</v>
      </c>
      <c r="D29" s="424" t="s">
        <v>21</v>
      </c>
      <c r="E29" s="424" t="s">
        <v>714</v>
      </c>
      <c r="F29" s="477">
        <v>14520</v>
      </c>
      <c r="G29" s="477">
        <v>17424</v>
      </c>
      <c r="H29" s="711"/>
    </row>
    <row r="30" spans="1:8" ht="15.75">
      <c r="A30" s="671"/>
      <c r="B30" s="708"/>
      <c r="C30" s="727" t="s">
        <v>252</v>
      </c>
      <c r="D30" s="424" t="s">
        <v>21</v>
      </c>
      <c r="E30" s="424" t="s">
        <v>22</v>
      </c>
      <c r="F30" s="477">
        <v>10472</v>
      </c>
      <c r="G30" s="477">
        <v>12566.4</v>
      </c>
      <c r="H30" s="711"/>
    </row>
    <row r="31" spans="1:8" ht="15.75">
      <c r="A31" s="671"/>
      <c r="B31" s="708"/>
      <c r="C31" s="728"/>
      <c r="D31" s="424" t="s">
        <v>21</v>
      </c>
      <c r="E31" s="424" t="s">
        <v>38</v>
      </c>
      <c r="F31" s="477">
        <v>14914</v>
      </c>
      <c r="G31" s="477">
        <v>17896.8</v>
      </c>
      <c r="H31" s="711"/>
    </row>
    <row r="32" spans="1:8" ht="30">
      <c r="A32" s="671"/>
      <c r="B32" s="708"/>
      <c r="C32" s="465" t="s">
        <v>659</v>
      </c>
      <c r="D32" s="424" t="s">
        <v>21</v>
      </c>
      <c r="E32" s="424" t="s">
        <v>714</v>
      </c>
      <c r="F32" s="477">
        <v>18340</v>
      </c>
      <c r="G32" s="477">
        <v>22008</v>
      </c>
      <c r="H32" s="711"/>
    </row>
    <row r="33" spans="1:8" ht="30">
      <c r="A33" s="671"/>
      <c r="B33" s="708"/>
      <c r="C33" s="465" t="s">
        <v>660</v>
      </c>
      <c r="D33" s="424" t="s">
        <v>21</v>
      </c>
      <c r="E33" s="424" t="s">
        <v>714</v>
      </c>
      <c r="F33" s="477">
        <v>21462</v>
      </c>
      <c r="G33" s="477">
        <v>25754.399999999998</v>
      </c>
      <c r="H33" s="711"/>
    </row>
    <row r="34" spans="1:8" ht="30">
      <c r="A34" s="671"/>
      <c r="B34" s="708"/>
      <c r="C34" s="465" t="s">
        <v>661</v>
      </c>
      <c r="D34" s="424" t="s">
        <v>21</v>
      </c>
      <c r="E34" s="424" t="s">
        <v>714</v>
      </c>
      <c r="F34" s="477">
        <v>26235</v>
      </c>
      <c r="G34" s="477">
        <v>31482</v>
      </c>
      <c r="H34" s="711"/>
    </row>
    <row r="35" spans="1:8" ht="30">
      <c r="A35" s="671"/>
      <c r="B35" s="708"/>
      <c r="C35" s="465" t="s">
        <v>662</v>
      </c>
      <c r="D35" s="424" t="s">
        <v>21</v>
      </c>
      <c r="E35" s="424" t="s">
        <v>714</v>
      </c>
      <c r="F35" s="477">
        <v>34686</v>
      </c>
      <c r="G35" s="477">
        <v>41623.2</v>
      </c>
      <c r="H35" s="711"/>
    </row>
    <row r="36" spans="1:8" ht="30">
      <c r="A36" s="671"/>
      <c r="B36" s="708"/>
      <c r="C36" s="461" t="s">
        <v>663</v>
      </c>
      <c r="D36" s="424" t="s">
        <v>21</v>
      </c>
      <c r="E36" s="424" t="s">
        <v>714</v>
      </c>
      <c r="F36" s="477">
        <v>41369</v>
      </c>
      <c r="G36" s="477">
        <v>49642.799999999996</v>
      </c>
      <c r="H36" s="711"/>
    </row>
    <row r="37" spans="1:8" ht="30">
      <c r="A37" s="671"/>
      <c r="B37" s="708"/>
      <c r="C37" s="461" t="s">
        <v>664</v>
      </c>
      <c r="D37" s="424" t="s">
        <v>21</v>
      </c>
      <c r="E37" s="424" t="s">
        <v>714</v>
      </c>
      <c r="F37" s="477">
        <v>44742</v>
      </c>
      <c r="G37" s="477">
        <v>53690.4</v>
      </c>
      <c r="H37" s="711"/>
    </row>
    <row r="38" spans="1:8" ht="30">
      <c r="A38" s="671"/>
      <c r="B38" s="708"/>
      <c r="C38" s="461" t="s">
        <v>665</v>
      </c>
      <c r="D38" s="424" t="s">
        <v>21</v>
      </c>
      <c r="E38" s="424" t="s">
        <v>714</v>
      </c>
      <c r="F38" s="477">
        <v>45232</v>
      </c>
      <c r="G38" s="477">
        <v>54278.4</v>
      </c>
      <c r="H38" s="711"/>
    </row>
    <row r="39" spans="1:8" ht="30">
      <c r="A39" s="671"/>
      <c r="B39" s="708"/>
      <c r="C39" s="461" t="s">
        <v>666</v>
      </c>
      <c r="D39" s="424" t="s">
        <v>21</v>
      </c>
      <c r="E39" s="424" t="s">
        <v>714</v>
      </c>
      <c r="F39" s="477">
        <v>89698</v>
      </c>
      <c r="G39" s="477">
        <v>107637.59999999999</v>
      </c>
      <c r="H39" s="711"/>
    </row>
    <row r="40" spans="1:8" ht="30">
      <c r="A40" s="671"/>
      <c r="B40" s="708"/>
      <c r="C40" s="461" t="s">
        <v>667</v>
      </c>
      <c r="D40" s="424" t="s">
        <v>21</v>
      </c>
      <c r="E40" s="424" t="s">
        <v>714</v>
      </c>
      <c r="F40" s="477">
        <v>109902</v>
      </c>
      <c r="G40" s="477">
        <v>131882.4</v>
      </c>
      <c r="H40" s="711"/>
    </row>
    <row r="41" spans="1:8" ht="30.75" thickBot="1">
      <c r="A41" s="672"/>
      <c r="B41" s="709"/>
      <c r="C41" s="465" t="s">
        <v>668</v>
      </c>
      <c r="D41" s="416" t="s">
        <v>21</v>
      </c>
      <c r="E41" s="416" t="s">
        <v>714</v>
      </c>
      <c r="F41" s="478">
        <v>116346</v>
      </c>
      <c r="G41" s="478">
        <v>139615.19999999998</v>
      </c>
      <c r="H41" s="711"/>
    </row>
    <row r="42" spans="1:8" ht="15.75" customHeight="1">
      <c r="A42" s="670" t="s">
        <v>263</v>
      </c>
      <c r="B42" s="683" t="s">
        <v>669</v>
      </c>
      <c r="C42" s="686" t="s">
        <v>199</v>
      </c>
      <c r="D42" s="686" t="s">
        <v>21</v>
      </c>
      <c r="E42" s="466" t="s">
        <v>22</v>
      </c>
      <c r="F42" s="479">
        <v>10906</v>
      </c>
      <c r="G42" s="479">
        <v>13087.199999999999</v>
      </c>
      <c r="H42" s="469"/>
    </row>
    <row r="43" spans="1:8" ht="15.75">
      <c r="A43" s="671"/>
      <c r="B43" s="684"/>
      <c r="C43" s="687"/>
      <c r="D43" s="687"/>
      <c r="E43" s="467" t="s">
        <v>38</v>
      </c>
      <c r="F43" s="480">
        <v>14798</v>
      </c>
      <c r="G43" s="480">
        <v>17757.6</v>
      </c>
      <c r="H43" s="470"/>
    </row>
    <row r="44" spans="1:8" ht="15.75" customHeight="1">
      <c r="A44" s="671"/>
      <c r="B44" s="684"/>
      <c r="C44" s="687" t="s">
        <v>202</v>
      </c>
      <c r="D44" s="687" t="s">
        <v>21</v>
      </c>
      <c r="E44" s="467" t="s">
        <v>22</v>
      </c>
      <c r="F44" s="480">
        <v>7506</v>
      </c>
      <c r="G44" s="480">
        <v>9007.199999999999</v>
      </c>
      <c r="H44" s="470"/>
    </row>
    <row r="45" spans="1:8" ht="16.5" thickBot="1">
      <c r="A45" s="672"/>
      <c r="B45" s="685"/>
      <c r="C45" s="688"/>
      <c r="D45" s="688"/>
      <c r="E45" s="468" t="s">
        <v>38</v>
      </c>
      <c r="F45" s="481">
        <v>9452</v>
      </c>
      <c r="G45" s="481">
        <v>11342.4</v>
      </c>
      <c r="H45" s="471"/>
    </row>
    <row r="46" spans="1:8" ht="15.75" customHeight="1">
      <c r="A46" s="673" t="s">
        <v>267</v>
      </c>
      <c r="B46" s="676" t="s">
        <v>57</v>
      </c>
      <c r="C46" s="679" t="s">
        <v>58</v>
      </c>
      <c r="D46" s="679" t="s">
        <v>21</v>
      </c>
      <c r="E46" s="464" t="s">
        <v>22</v>
      </c>
      <c r="F46" s="679" t="s">
        <v>76</v>
      </c>
      <c r="G46" s="679"/>
      <c r="H46" s="680"/>
    </row>
    <row r="47" spans="1:8" ht="15.75">
      <c r="A47" s="674"/>
      <c r="B47" s="677"/>
      <c r="C47" s="666"/>
      <c r="D47" s="666"/>
      <c r="E47" s="422" t="s">
        <v>38</v>
      </c>
      <c r="F47" s="666" t="s">
        <v>76</v>
      </c>
      <c r="G47" s="666"/>
      <c r="H47" s="681"/>
    </row>
    <row r="48" spans="1:8" ht="16.5" thickBot="1">
      <c r="A48" s="675"/>
      <c r="B48" s="678"/>
      <c r="C48" s="665"/>
      <c r="D48" s="428" t="s">
        <v>25</v>
      </c>
      <c r="E48" s="428" t="s">
        <v>25</v>
      </c>
      <c r="F48" s="665" t="s">
        <v>76</v>
      </c>
      <c r="G48" s="665"/>
      <c r="H48" s="682"/>
    </row>
    <row r="49" spans="1:8" ht="15.75" customHeight="1">
      <c r="A49" s="664" t="s">
        <v>68</v>
      </c>
      <c r="B49" s="664"/>
      <c r="C49" s="664"/>
      <c r="D49" s="664"/>
      <c r="E49" s="664"/>
      <c r="F49" s="664"/>
      <c r="G49" s="664"/>
      <c r="H49" s="664"/>
    </row>
    <row r="50" spans="1:8" ht="16.5" customHeight="1" thickBot="1">
      <c r="A50" s="732" t="s">
        <v>69</v>
      </c>
      <c r="B50" s="732"/>
      <c r="C50" s="705" t="s">
        <v>70</v>
      </c>
      <c r="D50" s="712"/>
      <c r="E50" s="712"/>
      <c r="F50" s="712"/>
      <c r="G50" s="712"/>
      <c r="H50" s="706"/>
    </row>
    <row r="51" spans="1:8" ht="15.75" customHeight="1">
      <c r="A51" s="670" t="s">
        <v>203</v>
      </c>
      <c r="B51" s="733" t="s">
        <v>73</v>
      </c>
      <c r="C51" s="713" t="s">
        <v>74</v>
      </c>
      <c r="D51" s="717" t="s">
        <v>21</v>
      </c>
      <c r="E51" s="427" t="s">
        <v>22</v>
      </c>
      <c r="F51" s="717" t="s">
        <v>76</v>
      </c>
      <c r="G51" s="717"/>
      <c r="H51" s="718" t="s">
        <v>670</v>
      </c>
    </row>
    <row r="52" spans="1:8" ht="15.75">
      <c r="A52" s="671"/>
      <c r="B52" s="729"/>
      <c r="C52" s="714"/>
      <c r="D52" s="666"/>
      <c r="E52" s="422" t="s">
        <v>38</v>
      </c>
      <c r="F52" s="666" t="s">
        <v>76</v>
      </c>
      <c r="G52" s="666"/>
      <c r="H52" s="681"/>
    </row>
    <row r="53" spans="1:8" ht="16.5" thickBot="1">
      <c r="A53" s="671"/>
      <c r="B53" s="729"/>
      <c r="C53" s="714"/>
      <c r="D53" s="423" t="s">
        <v>25</v>
      </c>
      <c r="E53" s="423" t="s">
        <v>25</v>
      </c>
      <c r="F53" s="667" t="s">
        <v>76</v>
      </c>
      <c r="G53" s="667"/>
      <c r="H53" s="719"/>
    </row>
    <row r="54" spans="1:8" ht="75">
      <c r="A54" s="671"/>
      <c r="B54" s="729"/>
      <c r="C54" s="715"/>
      <c r="D54" s="670" t="s">
        <v>75</v>
      </c>
      <c r="E54" s="720" t="s">
        <v>36</v>
      </c>
      <c r="F54" s="433">
        <v>300</v>
      </c>
      <c r="G54" s="433">
        <v>360</v>
      </c>
      <c r="H54" s="434" t="s">
        <v>80</v>
      </c>
    </row>
    <row r="55" spans="1:8" ht="75">
      <c r="A55" s="671"/>
      <c r="B55" s="729"/>
      <c r="C55" s="715"/>
      <c r="D55" s="671"/>
      <c r="E55" s="721"/>
      <c r="F55" s="413">
        <v>600</v>
      </c>
      <c r="G55" s="419">
        <v>720</v>
      </c>
      <c r="H55" s="429" t="s">
        <v>81</v>
      </c>
    </row>
    <row r="56" spans="1:8" ht="75.75" thickBot="1">
      <c r="A56" s="671"/>
      <c r="B56" s="729"/>
      <c r="C56" s="715"/>
      <c r="D56" s="672"/>
      <c r="E56" s="722"/>
      <c r="F56" s="435">
        <v>1000</v>
      </c>
      <c r="G56" s="436">
        <v>1200</v>
      </c>
      <c r="H56" s="432" t="s">
        <v>82</v>
      </c>
    </row>
    <row r="57" spans="1:8" ht="75">
      <c r="A57" s="671"/>
      <c r="B57" s="729"/>
      <c r="C57" s="715"/>
      <c r="D57" s="670" t="s">
        <v>75</v>
      </c>
      <c r="E57" s="720" t="s">
        <v>206</v>
      </c>
      <c r="F57" s="439">
        <v>500</v>
      </c>
      <c r="G57" s="433">
        <v>600</v>
      </c>
      <c r="H57" s="434" t="s">
        <v>80</v>
      </c>
    </row>
    <row r="58" spans="1:8" ht="75">
      <c r="A58" s="671"/>
      <c r="B58" s="729"/>
      <c r="C58" s="715"/>
      <c r="D58" s="671"/>
      <c r="E58" s="721"/>
      <c r="F58" s="413">
        <v>750</v>
      </c>
      <c r="G58" s="419">
        <v>900</v>
      </c>
      <c r="H58" s="429" t="s">
        <v>81</v>
      </c>
    </row>
    <row r="59" spans="1:8" ht="75.75" thickBot="1">
      <c r="A59" s="671"/>
      <c r="B59" s="729"/>
      <c r="C59" s="715"/>
      <c r="D59" s="672"/>
      <c r="E59" s="722"/>
      <c r="F59" s="440">
        <v>1000</v>
      </c>
      <c r="G59" s="436">
        <v>1200</v>
      </c>
      <c r="H59" s="432" t="s">
        <v>82</v>
      </c>
    </row>
    <row r="60" spans="1:8" ht="75">
      <c r="A60" s="671"/>
      <c r="B60" s="729"/>
      <c r="C60" s="714"/>
      <c r="D60" s="723" t="s">
        <v>732</v>
      </c>
      <c r="E60" s="425" t="s">
        <v>25</v>
      </c>
      <c r="F60" s="437">
        <v>2112</v>
      </c>
      <c r="G60" s="437">
        <v>2534.4</v>
      </c>
      <c r="H60" s="438" t="s">
        <v>208</v>
      </c>
    </row>
    <row r="61" spans="1:8" ht="75.75" thickBot="1">
      <c r="A61" s="672"/>
      <c r="B61" s="734"/>
      <c r="C61" s="716"/>
      <c r="D61" s="703"/>
      <c r="E61" s="430" t="s">
        <v>25</v>
      </c>
      <c r="F61" s="431">
        <v>3168</v>
      </c>
      <c r="G61" s="431">
        <v>3801.6</v>
      </c>
      <c r="H61" s="432" t="s">
        <v>85</v>
      </c>
    </row>
    <row r="62" spans="1:8" ht="16.5" customHeight="1" thickBot="1">
      <c r="A62" s="729" t="s">
        <v>86</v>
      </c>
      <c r="B62" s="729"/>
      <c r="C62" s="729" t="s">
        <v>87</v>
      </c>
      <c r="D62" s="729"/>
      <c r="E62" s="729"/>
      <c r="F62" s="729"/>
      <c r="G62" s="729"/>
      <c r="H62" s="729"/>
    </row>
    <row r="63" spans="1:8" ht="15.75" customHeight="1">
      <c r="A63" s="668">
        <v>8</v>
      </c>
      <c r="B63" s="730" t="s">
        <v>88</v>
      </c>
      <c r="C63" s="757" t="s">
        <v>671</v>
      </c>
      <c r="D63" s="759" t="s">
        <v>91</v>
      </c>
      <c r="E63" s="441" t="s">
        <v>22</v>
      </c>
      <c r="F63" s="482">
        <v>1700</v>
      </c>
      <c r="G63" s="482">
        <v>2040</v>
      </c>
      <c r="H63" s="761" t="s">
        <v>672</v>
      </c>
    </row>
    <row r="64" spans="1:8" ht="16.5" thickBot="1">
      <c r="A64" s="669"/>
      <c r="B64" s="731"/>
      <c r="C64" s="758"/>
      <c r="D64" s="760"/>
      <c r="E64" s="442" t="s">
        <v>38</v>
      </c>
      <c r="F64" s="483">
        <v>2673</v>
      </c>
      <c r="G64" s="483">
        <v>3207.6</v>
      </c>
      <c r="H64" s="762"/>
    </row>
    <row r="65" spans="1:8" ht="16.5" thickBot="1">
      <c r="A65" s="668">
        <v>9</v>
      </c>
      <c r="B65" s="735" t="s">
        <v>97</v>
      </c>
      <c r="C65" s="765" t="s">
        <v>96</v>
      </c>
      <c r="D65" s="765"/>
      <c r="E65" s="765"/>
      <c r="F65" s="765"/>
      <c r="G65" s="765"/>
      <c r="H65" s="766"/>
    </row>
    <row r="66" spans="1:8" ht="15.75" customHeight="1">
      <c r="A66" s="763"/>
      <c r="B66" s="764"/>
      <c r="C66" s="767" t="s">
        <v>733</v>
      </c>
      <c r="D66" s="759" t="s">
        <v>79</v>
      </c>
      <c r="E66" s="441" t="s">
        <v>22</v>
      </c>
      <c r="F66" s="484">
        <v>273</v>
      </c>
      <c r="G66" s="484">
        <v>327.59999999999997</v>
      </c>
      <c r="H66" s="769" t="s">
        <v>737</v>
      </c>
    </row>
    <row r="67" spans="1:8" ht="16.5" thickBot="1">
      <c r="A67" s="669"/>
      <c r="B67" s="736"/>
      <c r="C67" s="768"/>
      <c r="D67" s="760"/>
      <c r="E67" s="442" t="s">
        <v>38</v>
      </c>
      <c r="F67" s="485">
        <v>410</v>
      </c>
      <c r="G67" s="485">
        <v>492</v>
      </c>
      <c r="H67" s="770"/>
    </row>
    <row r="68" spans="1:8" ht="16.5" thickBot="1">
      <c r="A68" s="668">
        <v>10</v>
      </c>
      <c r="B68" s="735" t="s">
        <v>420</v>
      </c>
      <c r="C68" s="737" t="s">
        <v>371</v>
      </c>
      <c r="D68" s="737"/>
      <c r="E68" s="737"/>
      <c r="F68" s="737"/>
      <c r="G68" s="737"/>
      <c r="H68" s="738"/>
    </row>
    <row r="69" spans="1:8" ht="16.5" thickBot="1">
      <c r="A69" s="669"/>
      <c r="B69" s="736"/>
      <c r="C69" s="459" t="s">
        <v>371</v>
      </c>
      <c r="D69" s="443" t="s">
        <v>673</v>
      </c>
      <c r="E69" s="443"/>
      <c r="F69" s="486">
        <v>608</v>
      </c>
      <c r="G69" s="487">
        <v>729.6</v>
      </c>
      <c r="H69" s="444"/>
    </row>
    <row r="70" spans="1:8" ht="30">
      <c r="A70" s="742">
        <v>11</v>
      </c>
      <c r="B70" s="749" t="s">
        <v>103</v>
      </c>
      <c r="C70" s="751" t="s">
        <v>105</v>
      </c>
      <c r="D70" s="753" t="s">
        <v>220</v>
      </c>
      <c r="E70" s="445" t="s">
        <v>674</v>
      </c>
      <c r="F70" s="484">
        <v>743</v>
      </c>
      <c r="G70" s="484">
        <v>891.6</v>
      </c>
      <c r="H70" s="740"/>
    </row>
    <row r="71" spans="1:8" ht="16.5" thickBot="1">
      <c r="A71" s="743"/>
      <c r="B71" s="750"/>
      <c r="C71" s="752"/>
      <c r="D71" s="754"/>
      <c r="E71" s="446" t="s">
        <v>109</v>
      </c>
      <c r="F71" s="485">
        <v>700</v>
      </c>
      <c r="G71" s="485">
        <v>840</v>
      </c>
      <c r="H71" s="741"/>
    </row>
    <row r="72" spans="1:8" ht="16.5" thickBot="1">
      <c r="A72" s="742">
        <v>12</v>
      </c>
      <c r="B72" s="735" t="s">
        <v>110</v>
      </c>
      <c r="C72" s="755" t="s">
        <v>111</v>
      </c>
      <c r="D72" s="755"/>
      <c r="E72" s="755"/>
      <c r="F72" s="755"/>
      <c r="G72" s="755"/>
      <c r="H72" s="756"/>
    </row>
    <row r="73" spans="1:8" ht="45.75" thickBot="1">
      <c r="A73" s="743"/>
      <c r="B73" s="736"/>
      <c r="C73" s="459" t="s">
        <v>111</v>
      </c>
      <c r="D73" s="443" t="s">
        <v>220</v>
      </c>
      <c r="E73" s="447" t="s">
        <v>675</v>
      </c>
      <c r="F73" s="486">
        <v>6033</v>
      </c>
      <c r="G73" s="486">
        <v>7239.599999999999</v>
      </c>
      <c r="H73" s="488" t="s">
        <v>676</v>
      </c>
    </row>
    <row r="74" spans="1:8" ht="16.5" customHeight="1">
      <c r="A74" s="744" t="s">
        <v>136</v>
      </c>
      <c r="B74" s="745"/>
      <c r="C74" s="746" t="s">
        <v>651</v>
      </c>
      <c r="D74" s="747"/>
      <c r="E74" s="747"/>
      <c r="F74" s="747"/>
      <c r="G74" s="747"/>
      <c r="H74" s="748"/>
    </row>
    <row r="75" spans="1:8" ht="30">
      <c r="A75" s="416" t="s">
        <v>546</v>
      </c>
      <c r="B75" s="415" t="s">
        <v>139</v>
      </c>
      <c r="C75" s="417" t="s">
        <v>140</v>
      </c>
      <c r="D75" s="417" t="s">
        <v>21</v>
      </c>
      <c r="E75" s="418" t="s">
        <v>221</v>
      </c>
      <c r="F75" s="739" t="s">
        <v>76</v>
      </c>
      <c r="G75" s="739"/>
      <c r="H75" s="417" t="s">
        <v>428</v>
      </c>
    </row>
    <row r="76" spans="1:8" ht="66.75" customHeight="1" thickBot="1">
      <c r="A76" s="493">
        <v>15</v>
      </c>
      <c r="B76" s="494" t="s">
        <v>143</v>
      </c>
      <c r="C76" s="475" t="s">
        <v>677</v>
      </c>
      <c r="D76" s="496" t="s">
        <v>21</v>
      </c>
      <c r="E76" s="497" t="s">
        <v>675</v>
      </c>
      <c r="F76" s="772" t="s">
        <v>76</v>
      </c>
      <c r="G76" s="773"/>
      <c r="H76" s="495"/>
    </row>
    <row r="77" spans="1:8" ht="32.25" customHeight="1">
      <c r="A77" s="742">
        <v>16</v>
      </c>
      <c r="B77" s="733" t="s">
        <v>228</v>
      </c>
      <c r="C77" s="777" t="s">
        <v>227</v>
      </c>
      <c r="D77" s="472" t="s">
        <v>220</v>
      </c>
      <c r="E77" s="445" t="s">
        <v>714</v>
      </c>
      <c r="F77" s="473">
        <v>212</v>
      </c>
      <c r="G77" s="473">
        <v>254.39999999999998</v>
      </c>
      <c r="H77" s="474" t="s">
        <v>152</v>
      </c>
    </row>
    <row r="78" spans="1:8" ht="32.25" customHeight="1" thickBot="1">
      <c r="A78" s="743"/>
      <c r="B78" s="734"/>
      <c r="C78" s="778"/>
      <c r="D78" s="489" t="s">
        <v>220</v>
      </c>
      <c r="E78" s="490" t="s">
        <v>738</v>
      </c>
      <c r="F78" s="437">
        <v>2500</v>
      </c>
      <c r="G78" s="437">
        <v>3000</v>
      </c>
      <c r="H78" s="491" t="s">
        <v>739</v>
      </c>
    </row>
    <row r="79" spans="1:8" ht="30.75" thickBot="1">
      <c r="A79" s="448">
        <v>17</v>
      </c>
      <c r="B79" s="452" t="s">
        <v>155</v>
      </c>
      <c r="C79" s="450" t="s">
        <v>678</v>
      </c>
      <c r="D79" s="453" t="s">
        <v>119</v>
      </c>
      <c r="E79" s="447" t="s">
        <v>714</v>
      </c>
      <c r="F79" s="454">
        <v>2181.91</v>
      </c>
      <c r="G79" s="454">
        <v>2618.292</v>
      </c>
      <c r="H79" s="451"/>
    </row>
    <row r="80" spans="1:8" ht="16.5" thickBot="1">
      <c r="A80" s="774" t="s">
        <v>157</v>
      </c>
      <c r="B80" s="775"/>
      <c r="C80" s="776" t="s">
        <v>158</v>
      </c>
      <c r="D80" s="737"/>
      <c r="E80" s="737"/>
      <c r="F80" s="737"/>
      <c r="G80" s="737"/>
      <c r="H80" s="738"/>
    </row>
    <row r="81" spans="1:8" ht="30.75" thickBot="1">
      <c r="A81" s="448">
        <v>18</v>
      </c>
      <c r="B81" s="449" t="s">
        <v>159</v>
      </c>
      <c r="C81" s="455" t="s">
        <v>160</v>
      </c>
      <c r="D81" s="456" t="s">
        <v>679</v>
      </c>
      <c r="E81" s="457" t="s">
        <v>714</v>
      </c>
      <c r="F81" s="492">
        <v>1037</v>
      </c>
      <c r="G81" s="487">
        <v>1244.3999999999999</v>
      </c>
      <c r="H81" s="458" t="s">
        <v>162</v>
      </c>
    </row>
    <row r="82" spans="1:8" ht="15.75">
      <c r="A82" s="408"/>
      <c r="B82" s="409"/>
      <c r="C82" s="408"/>
      <c r="D82" s="411"/>
      <c r="E82" s="410"/>
      <c r="F82" s="498"/>
      <c r="G82" s="414"/>
      <c r="H82" s="411"/>
    </row>
    <row r="83" spans="1:8" ht="15.75">
      <c r="A83" s="412" t="s">
        <v>166</v>
      </c>
      <c r="B83" s="409"/>
      <c r="C83" s="408"/>
      <c r="D83" s="411"/>
      <c r="E83" s="410"/>
      <c r="F83" s="498"/>
      <c r="G83" s="414"/>
      <c r="H83" s="411"/>
    </row>
    <row r="84" spans="1:8" ht="15.75">
      <c r="A84" s="42"/>
      <c r="B84" s="43"/>
      <c r="C84" s="42"/>
      <c r="D84" s="48"/>
      <c r="E84" s="91"/>
      <c r="F84" s="91"/>
      <c r="G84" s="195"/>
      <c r="H84" s="48"/>
    </row>
    <row r="85" spans="1:8" ht="15.75">
      <c r="A85" s="771" t="s">
        <v>167</v>
      </c>
      <c r="B85" s="771"/>
      <c r="C85" s="771"/>
      <c r="D85" s="101"/>
      <c r="E85" s="103" t="s">
        <v>168</v>
      </c>
      <c r="F85" s="157"/>
      <c r="G85" s="78"/>
      <c r="H85" s="159"/>
    </row>
    <row r="86" spans="1:8" ht="15.75">
      <c r="A86" s="340"/>
      <c r="B86" s="340"/>
      <c r="C86" s="340"/>
      <c r="D86" s="101"/>
      <c r="E86" s="103"/>
      <c r="F86" s="157"/>
      <c r="G86" s="78"/>
      <c r="H86" s="159"/>
    </row>
    <row r="87" spans="1:8" ht="15.75">
      <c r="A87" s="771" t="s">
        <v>169</v>
      </c>
      <c r="B87" s="771"/>
      <c r="C87" s="771"/>
      <c r="D87" s="101"/>
      <c r="E87" s="103" t="s">
        <v>170</v>
      </c>
      <c r="F87" s="160"/>
      <c r="G87" s="78"/>
      <c r="H87" s="196"/>
    </row>
    <row r="88" spans="1:8" ht="15.75">
      <c r="A88" s="340"/>
      <c r="B88" s="340"/>
      <c r="C88" s="340"/>
      <c r="D88" s="101"/>
      <c r="E88" s="103"/>
      <c r="F88" s="160"/>
      <c r="G88" s="78"/>
      <c r="H88" s="196"/>
    </row>
    <row r="89" spans="1:8" ht="15.75">
      <c r="A89" s="771" t="s">
        <v>171</v>
      </c>
      <c r="B89" s="771"/>
      <c r="C89" s="771"/>
      <c r="D89" s="101"/>
      <c r="E89" s="103" t="s">
        <v>433</v>
      </c>
      <c r="F89" s="197"/>
      <c r="G89" s="78"/>
      <c r="H89" s="198"/>
    </row>
    <row r="90" spans="1:8" ht="15.75">
      <c r="A90" s="340"/>
      <c r="B90" s="340"/>
      <c r="C90" s="340"/>
      <c r="D90" s="163"/>
      <c r="E90" s="163"/>
      <c r="F90" s="199"/>
      <c r="G90" s="78"/>
      <c r="H90" s="199"/>
    </row>
    <row r="91" spans="1:8" ht="15.75">
      <c r="A91" s="771" t="s">
        <v>680</v>
      </c>
      <c r="B91" s="771"/>
      <c r="C91" s="771"/>
      <c r="D91" s="157"/>
      <c r="E91" s="341" t="s">
        <v>681</v>
      </c>
      <c r="F91" s="160"/>
      <c r="G91" s="78"/>
      <c r="H91" s="196"/>
    </row>
    <row r="92" spans="1:5" ht="15.75">
      <c r="A92" s="339"/>
      <c r="B92" s="339"/>
      <c r="C92" s="339"/>
      <c r="D92" s="339"/>
      <c r="E92" s="339"/>
    </row>
  </sheetData>
  <sheetProtection/>
  <mergeCells count="104">
    <mergeCell ref="C80:H80"/>
    <mergeCell ref="A77:A78"/>
    <mergeCell ref="B77:B78"/>
    <mergeCell ref="C77:C78"/>
    <mergeCell ref="C65:H65"/>
    <mergeCell ref="C66:C67"/>
    <mergeCell ref="D66:D67"/>
    <mergeCell ref="H66:H67"/>
    <mergeCell ref="A91:C91"/>
    <mergeCell ref="A85:C85"/>
    <mergeCell ref="A87:C87"/>
    <mergeCell ref="A89:C89"/>
    <mergeCell ref="F76:G76"/>
    <mergeCell ref="A80:B80"/>
    <mergeCell ref="A70:A71"/>
    <mergeCell ref="B70:B71"/>
    <mergeCell ref="C70:C71"/>
    <mergeCell ref="D70:D71"/>
    <mergeCell ref="C72:H72"/>
    <mergeCell ref="C63:C64"/>
    <mergeCell ref="D63:D64"/>
    <mergeCell ref="H63:H64"/>
    <mergeCell ref="A65:A67"/>
    <mergeCell ref="B65:B67"/>
    <mergeCell ref="A51:A61"/>
    <mergeCell ref="B51:B61"/>
    <mergeCell ref="B68:B69"/>
    <mergeCell ref="C68:H68"/>
    <mergeCell ref="F75:G75"/>
    <mergeCell ref="H70:H71"/>
    <mergeCell ref="A72:A73"/>
    <mergeCell ref="B72:B73"/>
    <mergeCell ref="A74:B74"/>
    <mergeCell ref="C74:H74"/>
    <mergeCell ref="F22:G22"/>
    <mergeCell ref="F23:G23"/>
    <mergeCell ref="F24:G24"/>
    <mergeCell ref="C25:H25"/>
    <mergeCell ref="C27:C28"/>
    <mergeCell ref="C30:C31"/>
    <mergeCell ref="E54:E56"/>
    <mergeCell ref="D57:D59"/>
    <mergeCell ref="E57:E59"/>
    <mergeCell ref="D60:D61"/>
    <mergeCell ref="A68:A69"/>
    <mergeCell ref="B19:B21"/>
    <mergeCell ref="A62:B62"/>
    <mergeCell ref="C62:H62"/>
    <mergeCell ref="B63:B64"/>
    <mergeCell ref="A50:B50"/>
    <mergeCell ref="H26:H41"/>
    <mergeCell ref="F20:G20"/>
    <mergeCell ref="A19:A21"/>
    <mergeCell ref="C50:H50"/>
    <mergeCell ref="C51:C61"/>
    <mergeCell ref="D51:D52"/>
    <mergeCell ref="F51:G51"/>
    <mergeCell ref="H51:H53"/>
    <mergeCell ref="D54:D56"/>
    <mergeCell ref="F52:G52"/>
    <mergeCell ref="A14:H14"/>
    <mergeCell ref="A15:B15"/>
    <mergeCell ref="C15:H15"/>
    <mergeCell ref="H19:H21"/>
    <mergeCell ref="A22:A24"/>
    <mergeCell ref="B22:B24"/>
    <mergeCell ref="C22:C24"/>
    <mergeCell ref="D22:D23"/>
    <mergeCell ref="H22:H24"/>
    <mergeCell ref="F19:G19"/>
    <mergeCell ref="F16:G16"/>
    <mergeCell ref="C19:C21"/>
    <mergeCell ref="D19:D20"/>
    <mergeCell ref="H16:H18"/>
    <mergeCell ref="F17:G17"/>
    <mergeCell ref="F18:G18"/>
    <mergeCell ref="F21:G21"/>
    <mergeCell ref="C44:C45"/>
    <mergeCell ref="D44:D45"/>
    <mergeCell ref="A16:A18"/>
    <mergeCell ref="B16:B18"/>
    <mergeCell ref="C16:C18"/>
    <mergeCell ref="D16:D17"/>
    <mergeCell ref="B25:B41"/>
    <mergeCell ref="F53:G53"/>
    <mergeCell ref="A63:A64"/>
    <mergeCell ref="A25:A41"/>
    <mergeCell ref="A46:A48"/>
    <mergeCell ref="B46:B48"/>
    <mergeCell ref="C46:C48"/>
    <mergeCell ref="D46:D47"/>
    <mergeCell ref="F46:G46"/>
    <mergeCell ref="A42:A45"/>
    <mergeCell ref="B42:B45"/>
    <mergeCell ref="A8:H8"/>
    <mergeCell ref="A9:H9"/>
    <mergeCell ref="A10:H10"/>
    <mergeCell ref="A11:H11"/>
    <mergeCell ref="A49:H49"/>
    <mergeCell ref="F48:G48"/>
    <mergeCell ref="F47:G47"/>
    <mergeCell ref="H46:H48"/>
    <mergeCell ref="C42:C43"/>
    <mergeCell ref="D42:D43"/>
  </mergeCells>
  <printOptions/>
  <pageMargins left="0.11811023622047245" right="0.11811023622047245" top="0.15748031496062992" bottom="0.15748031496062992" header="0.31496062992125984" footer="0.31496062992125984"/>
  <pageSetup fitToHeight="6" fitToWidth="1" horizontalDpi="600" verticalDpi="600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5.140625" style="68" customWidth="1"/>
    <col min="2" max="2" width="9.140625" style="68" customWidth="1"/>
    <col min="3" max="3" width="62.28125" style="68" customWidth="1"/>
    <col min="4" max="4" width="12.8515625" style="68" customWidth="1"/>
    <col min="5" max="5" width="14.00390625" style="68" customWidth="1"/>
    <col min="6" max="7" width="13.28125" style="68" customWidth="1"/>
    <col min="8" max="8" width="73.57421875" style="68" customWidth="1"/>
    <col min="9" max="16384" width="9.140625" style="68" customWidth="1"/>
  </cols>
  <sheetData>
    <row r="1" spans="1:8" ht="15.75">
      <c r="A1" s="1"/>
      <c r="B1" s="2"/>
      <c r="C1" s="1"/>
      <c r="D1" s="1"/>
      <c r="E1" s="1"/>
      <c r="F1" s="1"/>
      <c r="G1" s="95"/>
      <c r="H1" s="79"/>
    </row>
    <row r="2" spans="1:8" ht="15.75">
      <c r="A2" s="96"/>
      <c r="B2" s="97"/>
      <c r="C2" s="97"/>
      <c r="D2" s="98"/>
      <c r="E2" s="98"/>
      <c r="F2" s="98"/>
      <c r="H2" s="109" t="s">
        <v>0</v>
      </c>
    </row>
    <row r="3" spans="1:8" ht="15.75">
      <c r="A3" s="96"/>
      <c r="B3" s="97"/>
      <c r="C3" s="97"/>
      <c r="D3" s="98"/>
      <c r="E3" s="98"/>
      <c r="F3" s="98"/>
      <c r="H3" s="104" t="s">
        <v>1</v>
      </c>
    </row>
    <row r="4" spans="1:8" ht="15.75">
      <c r="A4" s="96"/>
      <c r="B4" s="97"/>
      <c r="C4" s="97"/>
      <c r="D4" s="98"/>
      <c r="E4" s="98"/>
      <c r="F4" s="98"/>
      <c r="H4" s="110" t="s">
        <v>2</v>
      </c>
    </row>
    <row r="5" spans="1:8" ht="15.75">
      <c r="A5" s="96"/>
      <c r="B5" s="97"/>
      <c r="C5" s="97"/>
      <c r="D5" s="98"/>
      <c r="E5" s="98"/>
      <c r="F5" s="98"/>
      <c r="H5" s="99"/>
    </row>
    <row r="6" spans="1:8" ht="15.75">
      <c r="A6" s="96"/>
      <c r="B6" s="97"/>
      <c r="C6" s="97"/>
      <c r="D6" s="98"/>
      <c r="E6" s="98"/>
      <c r="F6" s="98"/>
      <c r="H6" s="111" t="s">
        <v>3</v>
      </c>
    </row>
    <row r="7" spans="1:8" ht="15.75">
      <c r="A7" s="96"/>
      <c r="B7" s="97"/>
      <c r="C7" s="97"/>
      <c r="D7" s="98"/>
      <c r="E7" s="98"/>
      <c r="F7" s="98"/>
      <c r="G7" s="6"/>
      <c r="H7" s="7"/>
    </row>
    <row r="8" spans="1:8" ht="15.75">
      <c r="A8" s="779" t="s">
        <v>4</v>
      </c>
      <c r="B8" s="779"/>
      <c r="C8" s="779"/>
      <c r="D8" s="779"/>
      <c r="E8" s="779"/>
      <c r="F8" s="779"/>
      <c r="G8" s="779"/>
      <c r="H8" s="779"/>
    </row>
    <row r="9" spans="1:8" ht="15.75">
      <c r="A9" s="576" t="s">
        <v>506</v>
      </c>
      <c r="B9" s="576"/>
      <c r="C9" s="576"/>
      <c r="D9" s="576"/>
      <c r="E9" s="576"/>
      <c r="F9" s="576"/>
      <c r="G9" s="576"/>
      <c r="H9" s="576"/>
    </row>
    <row r="10" spans="1:8" ht="15.75">
      <c r="A10" s="576" t="s">
        <v>507</v>
      </c>
      <c r="B10" s="576"/>
      <c r="C10" s="576"/>
      <c r="D10" s="576"/>
      <c r="E10" s="576"/>
      <c r="F10" s="576"/>
      <c r="G10" s="576"/>
      <c r="H10" s="576"/>
    </row>
    <row r="11" spans="1:8" ht="15.75">
      <c r="A11" s="523" t="s">
        <v>508</v>
      </c>
      <c r="B11" s="523"/>
      <c r="C11" s="523"/>
      <c r="D11" s="523"/>
      <c r="E11" s="523"/>
      <c r="F11" s="523"/>
      <c r="G11" s="523"/>
      <c r="H11" s="523"/>
    </row>
    <row r="12" spans="1:8" ht="15.75">
      <c r="A12" s="8"/>
      <c r="B12" s="8"/>
      <c r="C12" s="8"/>
      <c r="D12" s="8"/>
      <c r="E12" s="8"/>
      <c r="F12" s="8"/>
      <c r="G12" s="8"/>
      <c r="H12" s="8"/>
    </row>
    <row r="13" spans="1:8" ht="63">
      <c r="A13" s="122" t="s">
        <v>8</v>
      </c>
      <c r="B13" s="123" t="s">
        <v>9</v>
      </c>
      <c r="C13" s="122" t="s">
        <v>10</v>
      </c>
      <c r="D13" s="122" t="s">
        <v>11</v>
      </c>
      <c r="E13" s="122" t="s">
        <v>12</v>
      </c>
      <c r="F13" s="124" t="s">
        <v>13</v>
      </c>
      <c r="G13" s="125" t="s">
        <v>14</v>
      </c>
      <c r="H13" s="122" t="s">
        <v>15</v>
      </c>
    </row>
    <row r="14" spans="1:8" ht="15.75">
      <c r="A14" s="535" t="s">
        <v>17</v>
      </c>
      <c r="B14" s="535"/>
      <c r="C14" s="783" t="s">
        <v>18</v>
      </c>
      <c r="D14" s="783"/>
      <c r="E14" s="783"/>
      <c r="F14" s="783"/>
      <c r="G14" s="783"/>
      <c r="H14" s="783"/>
    </row>
    <row r="15" spans="1:8" ht="25.5" customHeight="1">
      <c r="A15" s="784">
        <v>1</v>
      </c>
      <c r="B15" s="786" t="s">
        <v>19</v>
      </c>
      <c r="C15" s="784" t="s">
        <v>509</v>
      </c>
      <c r="D15" s="73" t="s">
        <v>21</v>
      </c>
      <c r="E15" s="64" t="s">
        <v>22</v>
      </c>
      <c r="F15" s="788" t="s">
        <v>510</v>
      </c>
      <c r="G15" s="789"/>
      <c r="H15" s="784" t="s">
        <v>511</v>
      </c>
    </row>
    <row r="16" spans="1:8" ht="25.5" customHeight="1">
      <c r="A16" s="785"/>
      <c r="B16" s="787"/>
      <c r="C16" s="785"/>
      <c r="D16" s="72" t="s">
        <v>25</v>
      </c>
      <c r="E16" s="64"/>
      <c r="F16" s="788" t="s">
        <v>512</v>
      </c>
      <c r="G16" s="789"/>
      <c r="H16" s="785"/>
    </row>
    <row r="17" spans="1:8" ht="25.5" customHeight="1">
      <c r="A17" s="790">
        <v>2</v>
      </c>
      <c r="B17" s="786" t="s">
        <v>28</v>
      </c>
      <c r="C17" s="784" t="s">
        <v>180</v>
      </c>
      <c r="D17" s="126" t="s">
        <v>21</v>
      </c>
      <c r="E17" s="64" t="s">
        <v>22</v>
      </c>
      <c r="F17" s="788" t="s">
        <v>510</v>
      </c>
      <c r="G17" s="789"/>
      <c r="H17" s="784" t="s">
        <v>181</v>
      </c>
    </row>
    <row r="18" spans="1:8" ht="25.5" customHeight="1">
      <c r="A18" s="782"/>
      <c r="B18" s="787"/>
      <c r="C18" s="785"/>
      <c r="D18" s="127" t="s">
        <v>25</v>
      </c>
      <c r="E18" s="64"/>
      <c r="F18" s="788" t="s">
        <v>510</v>
      </c>
      <c r="G18" s="789"/>
      <c r="H18" s="782"/>
    </row>
    <row r="19" spans="1:8" ht="25.5" customHeight="1">
      <c r="A19" s="780">
        <v>3</v>
      </c>
      <c r="B19" s="786" t="s">
        <v>31</v>
      </c>
      <c r="C19" s="784" t="s">
        <v>513</v>
      </c>
      <c r="D19" s="126" t="s">
        <v>21</v>
      </c>
      <c r="E19" s="64" t="s">
        <v>22</v>
      </c>
      <c r="F19" s="788" t="s">
        <v>510</v>
      </c>
      <c r="G19" s="789"/>
      <c r="H19" s="784" t="s">
        <v>181</v>
      </c>
    </row>
    <row r="20" spans="1:8" ht="25.5" customHeight="1">
      <c r="A20" s="782"/>
      <c r="B20" s="787"/>
      <c r="C20" s="785"/>
      <c r="D20" s="127" t="s">
        <v>25</v>
      </c>
      <c r="E20" s="64"/>
      <c r="F20" s="788" t="s">
        <v>512</v>
      </c>
      <c r="G20" s="789"/>
      <c r="H20" s="785"/>
    </row>
    <row r="21" spans="1:8" ht="15.75">
      <c r="A21" s="543">
        <v>4</v>
      </c>
      <c r="B21" s="529" t="s">
        <v>33</v>
      </c>
      <c r="C21" s="791" t="s">
        <v>34</v>
      </c>
      <c r="D21" s="792"/>
      <c r="E21" s="792"/>
      <c r="F21" s="792"/>
      <c r="G21" s="792"/>
      <c r="H21" s="793"/>
    </row>
    <row r="22" spans="1:8" ht="15.75">
      <c r="A22" s="605"/>
      <c r="B22" s="605"/>
      <c r="C22" s="18" t="s">
        <v>514</v>
      </c>
      <c r="D22" s="36" t="s">
        <v>21</v>
      </c>
      <c r="E22" s="26" t="s">
        <v>36</v>
      </c>
      <c r="F22" s="13">
        <v>3986</v>
      </c>
      <c r="G22" s="13">
        <f>F22*1.2</f>
        <v>4783.2</v>
      </c>
      <c r="H22" s="531" t="s">
        <v>685</v>
      </c>
    </row>
    <row r="23" spans="1:8" ht="15.75">
      <c r="A23" s="605"/>
      <c r="B23" s="605"/>
      <c r="C23" s="18" t="s">
        <v>515</v>
      </c>
      <c r="D23" s="36" t="s">
        <v>21</v>
      </c>
      <c r="E23" s="26" t="s">
        <v>22</v>
      </c>
      <c r="F23" s="13">
        <v>6944</v>
      </c>
      <c r="G23" s="13">
        <f>F23*1.2</f>
        <v>8332.8</v>
      </c>
      <c r="H23" s="605"/>
    </row>
    <row r="24" spans="1:8" ht="15.75">
      <c r="A24" s="605"/>
      <c r="B24" s="605"/>
      <c r="C24" s="18" t="s">
        <v>516</v>
      </c>
      <c r="D24" s="36" t="s">
        <v>21</v>
      </c>
      <c r="E24" s="26" t="s">
        <v>36</v>
      </c>
      <c r="F24" s="13">
        <v>8387</v>
      </c>
      <c r="G24" s="13">
        <f aca="true" t="shared" si="0" ref="G24:G34">F24*1.2</f>
        <v>10064.4</v>
      </c>
      <c r="H24" s="605"/>
    </row>
    <row r="25" spans="1:8" ht="15.75">
      <c r="A25" s="605"/>
      <c r="B25" s="605"/>
      <c r="C25" s="167" t="s">
        <v>517</v>
      </c>
      <c r="D25" s="36" t="s">
        <v>21</v>
      </c>
      <c r="E25" s="26" t="s">
        <v>22</v>
      </c>
      <c r="F25" s="13">
        <v>12694</v>
      </c>
      <c r="G25" s="13">
        <f t="shared" si="0"/>
        <v>15232.8</v>
      </c>
      <c r="H25" s="605"/>
    </row>
    <row r="26" spans="1:8" ht="15.75">
      <c r="A26" s="605"/>
      <c r="B26" s="605"/>
      <c r="C26" s="18" t="s">
        <v>518</v>
      </c>
      <c r="D26" s="36" t="s">
        <v>21</v>
      </c>
      <c r="E26" s="26" t="s">
        <v>22</v>
      </c>
      <c r="F26" s="13">
        <v>13977</v>
      </c>
      <c r="G26" s="13">
        <f t="shared" si="0"/>
        <v>16772.399999999998</v>
      </c>
      <c r="H26" s="605"/>
    </row>
    <row r="27" spans="1:8" ht="15.75">
      <c r="A27" s="605"/>
      <c r="B27" s="605"/>
      <c r="C27" s="18" t="s">
        <v>519</v>
      </c>
      <c r="D27" s="36" t="s">
        <v>21</v>
      </c>
      <c r="E27" s="26" t="s">
        <v>22</v>
      </c>
      <c r="F27" s="13">
        <v>16868</v>
      </c>
      <c r="G27" s="13">
        <f t="shared" si="0"/>
        <v>20241.6</v>
      </c>
      <c r="H27" s="605"/>
    </row>
    <row r="28" spans="1:8" ht="15.75">
      <c r="A28" s="605"/>
      <c r="B28" s="605"/>
      <c r="C28" s="18" t="s">
        <v>520</v>
      </c>
      <c r="D28" s="36" t="s">
        <v>21</v>
      </c>
      <c r="E28" s="26" t="s">
        <v>22</v>
      </c>
      <c r="F28" s="13">
        <v>19611</v>
      </c>
      <c r="G28" s="13">
        <f t="shared" si="0"/>
        <v>23533.2</v>
      </c>
      <c r="H28" s="605"/>
    </row>
    <row r="29" spans="1:8" ht="15.75">
      <c r="A29" s="605"/>
      <c r="B29" s="605"/>
      <c r="C29" s="18" t="s">
        <v>521</v>
      </c>
      <c r="D29" s="36" t="s">
        <v>21</v>
      </c>
      <c r="E29" s="26" t="s">
        <v>36</v>
      </c>
      <c r="F29" s="13">
        <v>22196</v>
      </c>
      <c r="G29" s="13">
        <f t="shared" si="0"/>
        <v>26635.2</v>
      </c>
      <c r="H29" s="605"/>
    </row>
    <row r="30" spans="1:8" ht="15.75">
      <c r="A30" s="605"/>
      <c r="B30" s="605"/>
      <c r="C30" s="18" t="s">
        <v>522</v>
      </c>
      <c r="D30" s="36" t="s">
        <v>21</v>
      </c>
      <c r="E30" s="26" t="s">
        <v>22</v>
      </c>
      <c r="F30" s="13">
        <v>25742</v>
      </c>
      <c r="G30" s="13">
        <f t="shared" si="0"/>
        <v>30890.399999999998</v>
      </c>
      <c r="H30" s="605"/>
    </row>
    <row r="31" spans="1:8" ht="15.75">
      <c r="A31" s="605"/>
      <c r="B31" s="605"/>
      <c r="C31" s="18" t="s">
        <v>523</v>
      </c>
      <c r="D31" s="36" t="s">
        <v>21</v>
      </c>
      <c r="E31" s="26" t="s">
        <v>22</v>
      </c>
      <c r="F31" s="13">
        <v>30558</v>
      </c>
      <c r="G31" s="13">
        <f t="shared" si="0"/>
        <v>36669.6</v>
      </c>
      <c r="H31" s="605"/>
    </row>
    <row r="32" spans="1:8" ht="15.75">
      <c r="A32" s="605"/>
      <c r="B32" s="605"/>
      <c r="C32" s="18" t="s">
        <v>524</v>
      </c>
      <c r="D32" s="36" t="s">
        <v>21</v>
      </c>
      <c r="E32" s="26" t="s">
        <v>22</v>
      </c>
      <c r="F32" s="13">
        <v>34299</v>
      </c>
      <c r="G32" s="13">
        <f t="shared" si="0"/>
        <v>41158.799999999996</v>
      </c>
      <c r="H32" s="605"/>
    </row>
    <row r="33" spans="1:8" ht="15.75">
      <c r="A33" s="605"/>
      <c r="B33" s="605"/>
      <c r="C33" s="18" t="s">
        <v>525</v>
      </c>
      <c r="D33" s="36" t="s">
        <v>21</v>
      </c>
      <c r="E33" s="26" t="s">
        <v>36</v>
      </c>
      <c r="F33" s="13">
        <v>38833</v>
      </c>
      <c r="G33" s="13">
        <f t="shared" si="0"/>
        <v>46599.6</v>
      </c>
      <c r="H33" s="605"/>
    </row>
    <row r="34" spans="1:8" ht="15.75">
      <c r="A34" s="544"/>
      <c r="B34" s="544"/>
      <c r="C34" s="23" t="s">
        <v>526</v>
      </c>
      <c r="D34" s="19" t="s">
        <v>21</v>
      </c>
      <c r="E34" s="26" t="s">
        <v>36</v>
      </c>
      <c r="F34" s="13">
        <v>42481</v>
      </c>
      <c r="G34" s="13">
        <f t="shared" si="0"/>
        <v>50977.2</v>
      </c>
      <c r="H34" s="544"/>
    </row>
    <row r="35" spans="1:8" ht="31.5">
      <c r="A35" s="782">
        <v>5</v>
      </c>
      <c r="B35" s="795" t="s">
        <v>527</v>
      </c>
      <c r="C35" s="75" t="s">
        <v>351</v>
      </c>
      <c r="D35" s="127" t="s">
        <v>21</v>
      </c>
      <c r="E35" s="201" t="s">
        <v>36</v>
      </c>
      <c r="F35" s="85">
        <v>10158</v>
      </c>
      <c r="G35" s="85">
        <f>F35*1.2</f>
        <v>12189.6</v>
      </c>
      <c r="H35" s="127" t="s">
        <v>264</v>
      </c>
    </row>
    <row r="36" spans="1:8" ht="31.5">
      <c r="A36" s="794"/>
      <c r="B36" s="787"/>
      <c r="C36" s="61" t="s">
        <v>352</v>
      </c>
      <c r="D36" s="73" t="s">
        <v>21</v>
      </c>
      <c r="E36" s="64" t="s">
        <v>22</v>
      </c>
      <c r="F36" s="13">
        <v>7818</v>
      </c>
      <c r="G36" s="13">
        <f>F36*1.2</f>
        <v>9381.6</v>
      </c>
      <c r="H36" s="73" t="s">
        <v>264</v>
      </c>
    </row>
    <row r="37" spans="1:8" ht="15.75">
      <c r="A37" s="796" t="s">
        <v>68</v>
      </c>
      <c r="B37" s="797"/>
      <c r="C37" s="797"/>
      <c r="D37" s="797"/>
      <c r="E37" s="797"/>
      <c r="F37" s="797"/>
      <c r="G37" s="797"/>
      <c r="H37" s="798"/>
    </row>
    <row r="38" spans="1:8" ht="15.75">
      <c r="A38" s="799" t="s">
        <v>69</v>
      </c>
      <c r="B38" s="800"/>
      <c r="C38" s="799" t="s">
        <v>70</v>
      </c>
      <c r="D38" s="801"/>
      <c r="E38" s="801"/>
      <c r="F38" s="801"/>
      <c r="G38" s="801"/>
      <c r="H38" s="800"/>
    </row>
    <row r="39" spans="1:8" ht="15.75">
      <c r="A39" s="784">
        <v>6</v>
      </c>
      <c r="B39" s="786" t="s">
        <v>204</v>
      </c>
      <c r="C39" s="780" t="s">
        <v>72</v>
      </c>
      <c r="D39" s="73" t="s">
        <v>25</v>
      </c>
      <c r="E39" s="64"/>
      <c r="F39" s="802" t="s">
        <v>510</v>
      </c>
      <c r="G39" s="802"/>
      <c r="H39" s="784"/>
    </row>
    <row r="40" spans="1:8" ht="15.75">
      <c r="A40" s="781"/>
      <c r="B40" s="781"/>
      <c r="C40" s="781"/>
      <c r="D40" s="73" t="s">
        <v>21</v>
      </c>
      <c r="E40" s="64" t="s">
        <v>22</v>
      </c>
      <c r="F40" s="802" t="s">
        <v>510</v>
      </c>
      <c r="G40" s="802"/>
      <c r="H40" s="790"/>
    </row>
    <row r="41" spans="1:8" ht="15.75">
      <c r="A41" s="192"/>
      <c r="B41" s="71" t="s">
        <v>471</v>
      </c>
      <c r="C41" s="799" t="s">
        <v>528</v>
      </c>
      <c r="D41" s="801"/>
      <c r="E41" s="801"/>
      <c r="F41" s="801"/>
      <c r="G41" s="801"/>
      <c r="H41" s="800"/>
    </row>
    <row r="42" spans="1:8" ht="78.75">
      <c r="A42" s="790">
        <v>7</v>
      </c>
      <c r="B42" s="786"/>
      <c r="C42" s="784" t="s">
        <v>529</v>
      </c>
      <c r="D42" s="784" t="s">
        <v>530</v>
      </c>
      <c r="E42" s="803" t="s">
        <v>36</v>
      </c>
      <c r="F42" s="64">
        <v>300</v>
      </c>
      <c r="G42" s="202">
        <f>F42*1.2</f>
        <v>360</v>
      </c>
      <c r="H42" s="59" t="s">
        <v>691</v>
      </c>
    </row>
    <row r="43" spans="1:8" ht="78.75">
      <c r="A43" s="790"/>
      <c r="B43" s="795"/>
      <c r="C43" s="790"/>
      <c r="D43" s="790"/>
      <c r="E43" s="804"/>
      <c r="F43" s="64">
        <v>600</v>
      </c>
      <c r="G43" s="202">
        <f>F43*1.2</f>
        <v>720</v>
      </c>
      <c r="H43" s="59" t="s">
        <v>699</v>
      </c>
    </row>
    <row r="44" spans="1:8" ht="78.75">
      <c r="A44" s="790"/>
      <c r="B44" s="795"/>
      <c r="C44" s="790"/>
      <c r="D44" s="785"/>
      <c r="E44" s="805"/>
      <c r="F44" s="60">
        <v>1000</v>
      </c>
      <c r="G44" s="60">
        <f aca="true" t="shared" si="1" ref="G44:G49">F44*1.2</f>
        <v>1200</v>
      </c>
      <c r="H44" s="59" t="s">
        <v>700</v>
      </c>
    </row>
    <row r="45" spans="1:8" ht="78.75">
      <c r="A45" s="790"/>
      <c r="B45" s="795"/>
      <c r="C45" s="790"/>
      <c r="D45" s="784" t="s">
        <v>530</v>
      </c>
      <c r="E45" s="780" t="s">
        <v>99</v>
      </c>
      <c r="F45" s="60">
        <v>500</v>
      </c>
      <c r="G45" s="60">
        <f t="shared" si="1"/>
        <v>600</v>
      </c>
      <c r="H45" s="59" t="s">
        <v>691</v>
      </c>
    </row>
    <row r="46" spans="1:8" ht="78.75">
      <c r="A46" s="790"/>
      <c r="B46" s="795"/>
      <c r="C46" s="790"/>
      <c r="D46" s="790"/>
      <c r="E46" s="781"/>
      <c r="F46" s="60">
        <v>750</v>
      </c>
      <c r="G46" s="60">
        <f t="shared" si="1"/>
        <v>900</v>
      </c>
      <c r="H46" s="59" t="s">
        <v>699</v>
      </c>
    </row>
    <row r="47" spans="1:8" ht="78.75">
      <c r="A47" s="790"/>
      <c r="B47" s="795"/>
      <c r="C47" s="790"/>
      <c r="D47" s="785"/>
      <c r="E47" s="782"/>
      <c r="F47" s="60">
        <v>1000</v>
      </c>
      <c r="G47" s="60">
        <f t="shared" si="1"/>
        <v>1200</v>
      </c>
      <c r="H47" s="59" t="s">
        <v>700</v>
      </c>
    </row>
    <row r="48" spans="1:8" ht="78.75">
      <c r="A48" s="790"/>
      <c r="B48" s="795"/>
      <c r="C48" s="790"/>
      <c r="D48" s="74" t="s">
        <v>531</v>
      </c>
      <c r="E48" s="61" t="s">
        <v>25</v>
      </c>
      <c r="F48" s="60">
        <v>2112</v>
      </c>
      <c r="G48" s="60">
        <f t="shared" si="1"/>
        <v>2534.4</v>
      </c>
      <c r="H48" s="61" t="s">
        <v>701</v>
      </c>
    </row>
    <row r="49" spans="1:8" ht="78.75">
      <c r="A49" s="790"/>
      <c r="B49" s="781"/>
      <c r="C49" s="790"/>
      <c r="D49" s="74" t="s">
        <v>531</v>
      </c>
      <c r="E49" s="61" t="s">
        <v>25</v>
      </c>
      <c r="F49" s="60">
        <v>3168</v>
      </c>
      <c r="G49" s="60">
        <f t="shared" si="1"/>
        <v>3801.6</v>
      </c>
      <c r="H49" s="61" t="s">
        <v>702</v>
      </c>
    </row>
    <row r="50" spans="1:8" ht="63">
      <c r="A50" s="785"/>
      <c r="B50" s="75"/>
      <c r="C50" s="785"/>
      <c r="D50" s="74" t="s">
        <v>530</v>
      </c>
      <c r="E50" s="64" t="s">
        <v>22</v>
      </c>
      <c r="F50" s="806" t="s">
        <v>76</v>
      </c>
      <c r="G50" s="807"/>
      <c r="H50" s="61" t="s">
        <v>532</v>
      </c>
    </row>
    <row r="51" spans="1:8" ht="15.75">
      <c r="A51" s="808" t="s">
        <v>86</v>
      </c>
      <c r="B51" s="809"/>
      <c r="C51" s="808" t="s">
        <v>87</v>
      </c>
      <c r="D51" s="810"/>
      <c r="E51" s="810"/>
      <c r="F51" s="810"/>
      <c r="G51" s="810"/>
      <c r="H51" s="809"/>
    </row>
    <row r="52" spans="1:8" ht="15.75">
      <c r="A52" s="784">
        <v>8</v>
      </c>
      <c r="B52" s="70" t="s">
        <v>88</v>
      </c>
      <c r="C52" s="808" t="s">
        <v>90</v>
      </c>
      <c r="D52" s="810"/>
      <c r="E52" s="810"/>
      <c r="F52" s="810"/>
      <c r="G52" s="810"/>
      <c r="H52" s="809"/>
    </row>
    <row r="53" spans="1:8" ht="63">
      <c r="A53" s="790"/>
      <c r="B53" s="531" t="s">
        <v>122</v>
      </c>
      <c r="C53" s="12" t="s">
        <v>533</v>
      </c>
      <c r="D53" s="23" t="s">
        <v>91</v>
      </c>
      <c r="E53" s="26" t="s">
        <v>22</v>
      </c>
      <c r="F53" s="13">
        <v>3909</v>
      </c>
      <c r="G53" s="13">
        <f>F53*1.2</f>
        <v>4690.8</v>
      </c>
      <c r="H53" s="18" t="s">
        <v>534</v>
      </c>
    </row>
    <row r="54" spans="1:8" ht="47.25">
      <c r="A54" s="785"/>
      <c r="B54" s="533"/>
      <c r="C54" s="12" t="s">
        <v>535</v>
      </c>
      <c r="D54" s="203" t="s">
        <v>91</v>
      </c>
      <c r="E54" s="26" t="s">
        <v>22</v>
      </c>
      <c r="F54" s="13">
        <v>1170</v>
      </c>
      <c r="G54" s="13">
        <f>F54*1.2</f>
        <v>1404</v>
      </c>
      <c r="H54" s="23"/>
    </row>
    <row r="55" spans="1:8" ht="15.75">
      <c r="A55" s="784">
        <v>9</v>
      </c>
      <c r="B55" s="71" t="s">
        <v>97</v>
      </c>
      <c r="C55" s="808" t="s">
        <v>96</v>
      </c>
      <c r="D55" s="810"/>
      <c r="E55" s="810"/>
      <c r="F55" s="810"/>
      <c r="G55" s="810"/>
      <c r="H55" s="809"/>
    </row>
    <row r="56" spans="1:8" ht="15.75">
      <c r="A56" s="790"/>
      <c r="B56" s="529"/>
      <c r="C56" s="557" t="s">
        <v>536</v>
      </c>
      <c r="D56" s="23" t="s">
        <v>79</v>
      </c>
      <c r="E56" s="26" t="s">
        <v>36</v>
      </c>
      <c r="F56" s="13">
        <v>420</v>
      </c>
      <c r="G56" s="13">
        <f aca="true" t="shared" si="2" ref="G56:G62">F56*1.2</f>
        <v>504</v>
      </c>
      <c r="H56" s="543" t="s">
        <v>537</v>
      </c>
    </row>
    <row r="57" spans="1:8" ht="63">
      <c r="A57" s="790"/>
      <c r="B57" s="530"/>
      <c r="C57" s="544"/>
      <c r="D57" s="23" t="s">
        <v>538</v>
      </c>
      <c r="E57" s="22" t="s">
        <v>25</v>
      </c>
      <c r="F57" s="13">
        <v>20</v>
      </c>
      <c r="G57" s="13">
        <f t="shared" si="2"/>
        <v>24</v>
      </c>
      <c r="H57" s="605"/>
    </row>
    <row r="58" spans="1:8" ht="31.5">
      <c r="A58" s="790"/>
      <c r="B58" s="530"/>
      <c r="C58" s="19" t="s">
        <v>703</v>
      </c>
      <c r="D58" s="23" t="s">
        <v>79</v>
      </c>
      <c r="E58" s="26" t="s">
        <v>22</v>
      </c>
      <c r="F58" s="13">
        <v>160</v>
      </c>
      <c r="G58" s="13">
        <f t="shared" si="2"/>
        <v>192</v>
      </c>
      <c r="H58" s="605"/>
    </row>
    <row r="59" spans="1:8" ht="15.75">
      <c r="A59" s="784">
        <v>10</v>
      </c>
      <c r="B59" s="786" t="s">
        <v>420</v>
      </c>
      <c r="C59" s="811" t="s">
        <v>371</v>
      </c>
      <c r="D59" s="811"/>
      <c r="E59" s="812"/>
      <c r="F59" s="811"/>
      <c r="G59" s="811"/>
      <c r="H59" s="813"/>
    </row>
    <row r="60" spans="1:8" ht="31.5">
      <c r="A60" s="785"/>
      <c r="B60" s="787"/>
      <c r="C60" s="204" t="s">
        <v>371</v>
      </c>
      <c r="D60" s="74" t="s">
        <v>539</v>
      </c>
      <c r="E60" s="64" t="s">
        <v>540</v>
      </c>
      <c r="F60" s="13">
        <v>543</v>
      </c>
      <c r="G60" s="13">
        <f t="shared" si="2"/>
        <v>651.6</v>
      </c>
      <c r="H60" s="60" t="s">
        <v>541</v>
      </c>
    </row>
    <row r="61" spans="1:8" ht="15.75">
      <c r="A61" s="780">
        <v>11</v>
      </c>
      <c r="B61" s="786" t="s">
        <v>103</v>
      </c>
      <c r="C61" s="814" t="s">
        <v>105</v>
      </c>
      <c r="D61" s="814" t="s">
        <v>220</v>
      </c>
      <c r="E61" s="26" t="s">
        <v>22</v>
      </c>
      <c r="F61" s="13">
        <v>817</v>
      </c>
      <c r="G61" s="13">
        <f t="shared" si="2"/>
        <v>980.4</v>
      </c>
      <c r="H61" s="23" t="s">
        <v>542</v>
      </c>
    </row>
    <row r="62" spans="1:8" ht="15.75">
      <c r="A62" s="782"/>
      <c r="B62" s="787"/>
      <c r="C62" s="782"/>
      <c r="D62" s="815"/>
      <c r="E62" s="64" t="s">
        <v>22</v>
      </c>
      <c r="F62" s="60">
        <v>652</v>
      </c>
      <c r="G62" s="60">
        <f t="shared" si="2"/>
        <v>782.4</v>
      </c>
      <c r="H62" s="61" t="s">
        <v>296</v>
      </c>
    </row>
    <row r="63" spans="1:8" ht="15.75">
      <c r="A63" s="780">
        <v>12</v>
      </c>
      <c r="B63" s="816" t="s">
        <v>110</v>
      </c>
      <c r="C63" s="818" t="s">
        <v>111</v>
      </c>
      <c r="D63" s="811"/>
      <c r="E63" s="811"/>
      <c r="F63" s="811"/>
      <c r="G63" s="811"/>
      <c r="H63" s="813"/>
    </row>
    <row r="64" spans="1:8" ht="31.5">
      <c r="A64" s="781"/>
      <c r="B64" s="817"/>
      <c r="C64" s="819" t="s">
        <v>111</v>
      </c>
      <c r="D64" s="152" t="s">
        <v>220</v>
      </c>
      <c r="E64" s="64" t="s">
        <v>22</v>
      </c>
      <c r="F64" s="13">
        <v>6388</v>
      </c>
      <c r="G64" s="13">
        <f>F64*1.2</f>
        <v>7665.599999999999</v>
      </c>
      <c r="H64" s="61" t="s">
        <v>381</v>
      </c>
    </row>
    <row r="65" spans="1:8" ht="63">
      <c r="A65" s="782"/>
      <c r="B65" s="796"/>
      <c r="C65" s="794"/>
      <c r="D65" s="61" t="s">
        <v>21</v>
      </c>
      <c r="E65" s="64" t="s">
        <v>36</v>
      </c>
      <c r="F65" s="13">
        <v>1503</v>
      </c>
      <c r="G65" s="13">
        <f>F65*1.2</f>
        <v>1803.6</v>
      </c>
      <c r="H65" s="61" t="s">
        <v>543</v>
      </c>
    </row>
    <row r="66" spans="1:8" ht="15.75">
      <c r="A66" s="192"/>
      <c r="B66" s="205"/>
      <c r="C66" s="818" t="s">
        <v>126</v>
      </c>
      <c r="D66" s="811"/>
      <c r="E66" s="811"/>
      <c r="F66" s="811"/>
      <c r="G66" s="811"/>
      <c r="H66" s="813"/>
    </row>
    <row r="67" spans="1:8" ht="31.5">
      <c r="A67" s="781">
        <v>13</v>
      </c>
      <c r="B67" s="795" t="s">
        <v>125</v>
      </c>
      <c r="C67" s="781" t="s">
        <v>126</v>
      </c>
      <c r="D67" s="191" t="s">
        <v>21</v>
      </c>
      <c r="E67" s="206" t="s">
        <v>36</v>
      </c>
      <c r="F67" s="85">
        <v>3397</v>
      </c>
      <c r="G67" s="207">
        <f>F67*1.2</f>
        <v>4076.3999999999996</v>
      </c>
      <c r="H67" s="192" t="s">
        <v>127</v>
      </c>
    </row>
    <row r="68" spans="1:8" ht="78.75">
      <c r="A68" s="781"/>
      <c r="B68" s="795"/>
      <c r="C68" s="781"/>
      <c r="D68" s="61" t="s">
        <v>119</v>
      </c>
      <c r="E68" s="61"/>
      <c r="F68" s="547" t="s">
        <v>131</v>
      </c>
      <c r="G68" s="548"/>
      <c r="H68" s="61" t="s">
        <v>132</v>
      </c>
    </row>
    <row r="69" spans="1:8" ht="31.5">
      <c r="A69" s="782"/>
      <c r="B69" s="787"/>
      <c r="C69" s="782"/>
      <c r="D69" s="74" t="s">
        <v>544</v>
      </c>
      <c r="E69" s="64" t="s">
        <v>22</v>
      </c>
      <c r="F69" s="26">
        <v>271</v>
      </c>
      <c r="G69" s="26">
        <f>F69*1.2</f>
        <v>325.2</v>
      </c>
      <c r="H69" s="61" t="s">
        <v>545</v>
      </c>
    </row>
    <row r="70" spans="1:8" ht="15.75">
      <c r="A70" s="799" t="s">
        <v>136</v>
      </c>
      <c r="B70" s="800"/>
      <c r="C70" s="820" t="s">
        <v>137</v>
      </c>
      <c r="D70" s="821"/>
      <c r="E70" s="821"/>
      <c r="F70" s="821"/>
      <c r="G70" s="821"/>
      <c r="H70" s="822"/>
    </row>
    <row r="71" spans="1:8" ht="31.5">
      <c r="A71" s="208" t="s">
        <v>546</v>
      </c>
      <c r="B71" s="71" t="s">
        <v>311</v>
      </c>
      <c r="C71" s="74" t="s">
        <v>312</v>
      </c>
      <c r="D71" s="74" t="s">
        <v>25</v>
      </c>
      <c r="E71" s="64" t="s">
        <v>547</v>
      </c>
      <c r="F71" s="788" t="s">
        <v>23</v>
      </c>
      <c r="G71" s="789"/>
      <c r="H71" s="75"/>
    </row>
    <row r="72" spans="1:8" ht="31.5">
      <c r="A72" s="66" t="s">
        <v>427</v>
      </c>
      <c r="B72" s="76" t="s">
        <v>223</v>
      </c>
      <c r="C72" s="74" t="s">
        <v>140</v>
      </c>
      <c r="D72" s="61" t="s">
        <v>21</v>
      </c>
      <c r="E72" s="64" t="s">
        <v>22</v>
      </c>
      <c r="F72" s="788" t="s">
        <v>23</v>
      </c>
      <c r="G72" s="789"/>
      <c r="H72" s="75" t="s">
        <v>428</v>
      </c>
    </row>
    <row r="73" spans="1:8" ht="47.25">
      <c r="A73" s="74">
        <v>16</v>
      </c>
      <c r="B73" s="71" t="s">
        <v>143</v>
      </c>
      <c r="C73" s="74" t="s">
        <v>144</v>
      </c>
      <c r="D73" s="209" t="s">
        <v>21</v>
      </c>
      <c r="E73" s="64" t="s">
        <v>22</v>
      </c>
      <c r="F73" s="823" t="s">
        <v>23</v>
      </c>
      <c r="G73" s="824"/>
      <c r="H73" s="74"/>
    </row>
    <row r="74" spans="1:8" ht="31.5">
      <c r="A74" s="61">
        <v>17</v>
      </c>
      <c r="B74" s="76" t="s">
        <v>145</v>
      </c>
      <c r="C74" s="74" t="s">
        <v>548</v>
      </c>
      <c r="D74" s="210" t="s">
        <v>698</v>
      </c>
      <c r="E74" s="64" t="s">
        <v>547</v>
      </c>
      <c r="F74" s="788" t="s">
        <v>23</v>
      </c>
      <c r="G74" s="789"/>
      <c r="H74" s="61"/>
    </row>
    <row r="75" spans="1:8" ht="15.75">
      <c r="A75" s="780">
        <v>18</v>
      </c>
      <c r="B75" s="786" t="s">
        <v>228</v>
      </c>
      <c r="C75" s="780" t="s">
        <v>549</v>
      </c>
      <c r="D75" s="74" t="s">
        <v>21</v>
      </c>
      <c r="E75" s="64" t="s">
        <v>22</v>
      </c>
      <c r="F75" s="13">
        <v>2329</v>
      </c>
      <c r="G75" s="13">
        <f>F75*1.2</f>
        <v>2794.7999999999997</v>
      </c>
      <c r="H75" s="211" t="s">
        <v>550</v>
      </c>
    </row>
    <row r="76" spans="1:8" ht="15.75">
      <c r="A76" s="781"/>
      <c r="B76" s="795"/>
      <c r="C76" s="781"/>
      <c r="D76" s="61" t="s">
        <v>21</v>
      </c>
      <c r="E76" s="61" t="s">
        <v>150</v>
      </c>
      <c r="F76" s="828" t="s">
        <v>76</v>
      </c>
      <c r="G76" s="829"/>
      <c r="H76" s="128" t="s">
        <v>551</v>
      </c>
    </row>
    <row r="77" spans="1:8" ht="31.5">
      <c r="A77" s="781"/>
      <c r="B77" s="795"/>
      <c r="C77" s="781"/>
      <c r="D77" s="74" t="s">
        <v>106</v>
      </c>
      <c r="E77" s="74" t="s">
        <v>22</v>
      </c>
      <c r="F77" s="60">
        <v>212</v>
      </c>
      <c r="G77" s="64">
        <f>F77*1.2</f>
        <v>254.39999999999998</v>
      </c>
      <c r="H77" s="128" t="s">
        <v>235</v>
      </c>
    </row>
    <row r="78" spans="1:8" ht="15.75">
      <c r="A78" s="781"/>
      <c r="B78" s="826"/>
      <c r="C78" s="826"/>
      <c r="D78" s="19" t="s">
        <v>21</v>
      </c>
      <c r="E78" s="26" t="s">
        <v>22</v>
      </c>
      <c r="F78" s="13">
        <v>8333</v>
      </c>
      <c r="G78" s="13">
        <f>F78*1.2</f>
        <v>9999.6</v>
      </c>
      <c r="H78" s="625" t="s">
        <v>552</v>
      </c>
    </row>
    <row r="79" spans="1:8" ht="15.75">
      <c r="A79" s="782"/>
      <c r="B79" s="827"/>
      <c r="C79" s="827"/>
      <c r="D79" s="19" t="s">
        <v>21</v>
      </c>
      <c r="E79" s="19" t="s">
        <v>553</v>
      </c>
      <c r="F79" s="13">
        <v>39959</v>
      </c>
      <c r="G79" s="13">
        <f>F79*1.2</f>
        <v>47950.799999999996</v>
      </c>
      <c r="H79" s="544"/>
    </row>
    <row r="80" spans="1:8" ht="31.5">
      <c r="A80" s="200">
        <v>19</v>
      </c>
      <c r="B80" s="76" t="s">
        <v>236</v>
      </c>
      <c r="C80" s="74" t="s">
        <v>156</v>
      </c>
      <c r="D80" s="74" t="s">
        <v>119</v>
      </c>
      <c r="E80" s="74" t="s">
        <v>22</v>
      </c>
      <c r="F80" s="60">
        <v>2181.91</v>
      </c>
      <c r="G80" s="60">
        <f>F80*1.2</f>
        <v>2618.292</v>
      </c>
      <c r="H80" s="128"/>
    </row>
    <row r="81" spans="1:8" ht="15.75">
      <c r="A81" s="830"/>
      <c r="B81" s="831"/>
      <c r="C81" s="830" t="s">
        <v>158</v>
      </c>
      <c r="D81" s="832"/>
      <c r="E81" s="832"/>
      <c r="F81" s="832"/>
      <c r="G81" s="832"/>
      <c r="H81" s="831"/>
    </row>
    <row r="82" spans="1:8" ht="31.5">
      <c r="A82" s="61">
        <v>20</v>
      </c>
      <c r="B82" s="11" t="s">
        <v>159</v>
      </c>
      <c r="C82" s="18" t="s">
        <v>160</v>
      </c>
      <c r="D82" s="14" t="s">
        <v>161</v>
      </c>
      <c r="E82" s="20" t="s">
        <v>36</v>
      </c>
      <c r="F82" s="129">
        <v>1995</v>
      </c>
      <c r="G82" s="129">
        <f>F82*1.2</f>
        <v>2394</v>
      </c>
      <c r="H82" s="14" t="s">
        <v>431</v>
      </c>
    </row>
    <row r="83" spans="1:8" ht="15.75">
      <c r="A83" s="61">
        <v>21</v>
      </c>
      <c r="B83" s="11" t="s">
        <v>554</v>
      </c>
      <c r="C83" s="23" t="s">
        <v>500</v>
      </c>
      <c r="D83" s="12" t="s">
        <v>21</v>
      </c>
      <c r="E83" s="26" t="s">
        <v>22</v>
      </c>
      <c r="F83" s="13">
        <v>994</v>
      </c>
      <c r="G83" s="13">
        <f>F83*1.2</f>
        <v>1192.8</v>
      </c>
      <c r="H83" s="12" t="s">
        <v>555</v>
      </c>
    </row>
    <row r="84" spans="1:8" ht="15.75">
      <c r="A84" s="42"/>
      <c r="B84" s="43"/>
      <c r="C84" s="44"/>
      <c r="D84" s="48"/>
      <c r="E84" s="45"/>
      <c r="F84" s="91"/>
      <c r="G84" s="91"/>
      <c r="H84" s="48"/>
    </row>
    <row r="85" spans="1:8" ht="15.75">
      <c r="A85" s="49" t="s">
        <v>166</v>
      </c>
      <c r="B85" s="43"/>
      <c r="C85" s="44"/>
      <c r="D85" s="48"/>
      <c r="E85" s="45"/>
      <c r="F85" s="1"/>
      <c r="G85" s="1"/>
      <c r="H85" s="1"/>
    </row>
    <row r="86" spans="1:8" ht="15.75">
      <c r="A86" s="42"/>
      <c r="B86" s="43"/>
      <c r="C86" s="44"/>
      <c r="D86" s="48"/>
      <c r="E86" s="45"/>
      <c r="F86" s="1"/>
      <c r="G86" s="101"/>
      <c r="H86" s="1"/>
    </row>
    <row r="87" spans="1:8" ht="15.75">
      <c r="A87" s="825" t="s">
        <v>167</v>
      </c>
      <c r="B87" s="825"/>
      <c r="C87" s="825"/>
      <c r="D87" s="51"/>
      <c r="E87" s="101" t="s">
        <v>168</v>
      </c>
      <c r="F87" s="1"/>
      <c r="G87" s="1"/>
      <c r="H87" s="1"/>
    </row>
    <row r="88" spans="1:8" ht="15.75">
      <c r="A88" s="212"/>
      <c r="B88" s="212"/>
      <c r="C88" s="212"/>
      <c r="D88" s="51"/>
      <c r="E88" s="101"/>
      <c r="F88" s="1"/>
      <c r="G88" s="1"/>
      <c r="H88" s="1"/>
    </row>
    <row r="89" spans="1:8" ht="15.75">
      <c r="A89" s="212" t="s">
        <v>169</v>
      </c>
      <c r="B89" s="52"/>
      <c r="C89" s="212"/>
      <c r="D89" s="51"/>
      <c r="E89" s="101" t="s">
        <v>170</v>
      </c>
      <c r="F89" s="1"/>
      <c r="G89" s="1"/>
      <c r="H89" s="1"/>
    </row>
    <row r="90" spans="1:8" ht="15.75">
      <c r="A90" s="212"/>
      <c r="B90" s="52"/>
      <c r="C90" s="212"/>
      <c r="D90" s="51"/>
      <c r="E90" s="101"/>
      <c r="F90" s="1"/>
      <c r="G90" s="1"/>
      <c r="H90" s="1"/>
    </row>
    <row r="91" spans="1:8" ht="15.75">
      <c r="A91" s="212" t="s">
        <v>171</v>
      </c>
      <c r="B91" s="52"/>
      <c r="C91" s="212"/>
      <c r="D91" s="51"/>
      <c r="E91" s="101" t="s">
        <v>556</v>
      </c>
      <c r="F91" s="1"/>
      <c r="G91" s="1"/>
      <c r="H91" s="1"/>
    </row>
    <row r="92" spans="1:8" ht="15.75">
      <c r="A92" s="212"/>
      <c r="B92" s="52"/>
      <c r="C92" s="212"/>
      <c r="D92" s="51"/>
      <c r="E92" s="101"/>
      <c r="F92" s="1"/>
      <c r="G92" s="1"/>
      <c r="H92" s="1"/>
    </row>
    <row r="93" spans="1:8" ht="15.75">
      <c r="A93" s="213" t="s">
        <v>557</v>
      </c>
      <c r="B93" s="213"/>
      <c r="C93" s="212"/>
      <c r="D93" s="51"/>
      <c r="E93" s="101" t="s">
        <v>558</v>
      </c>
      <c r="F93" s="1"/>
      <c r="G93" s="1"/>
      <c r="H93" s="1"/>
    </row>
  </sheetData>
  <sheetProtection/>
  <mergeCells count="88">
    <mergeCell ref="A87:C87"/>
    <mergeCell ref="B75:B79"/>
    <mergeCell ref="C75:C79"/>
    <mergeCell ref="F76:G76"/>
    <mergeCell ref="H78:H79"/>
    <mergeCell ref="A81:B81"/>
    <mergeCell ref="C81:H81"/>
    <mergeCell ref="A70:B70"/>
    <mergeCell ref="C70:H70"/>
    <mergeCell ref="F71:G71"/>
    <mergeCell ref="F72:G72"/>
    <mergeCell ref="F73:G73"/>
    <mergeCell ref="F74:G74"/>
    <mergeCell ref="A63:A65"/>
    <mergeCell ref="B63:B65"/>
    <mergeCell ref="C63:H63"/>
    <mergeCell ref="C64:C65"/>
    <mergeCell ref="C66:H66"/>
    <mergeCell ref="A67:A69"/>
    <mergeCell ref="B67:B69"/>
    <mergeCell ref="C67:C69"/>
    <mergeCell ref="F68:G68"/>
    <mergeCell ref="A59:A60"/>
    <mergeCell ref="B59:B60"/>
    <mergeCell ref="C59:H59"/>
    <mergeCell ref="A61:A62"/>
    <mergeCell ref="B61:B62"/>
    <mergeCell ref="C61:C62"/>
    <mergeCell ref="D61:D62"/>
    <mergeCell ref="A51:B51"/>
    <mergeCell ref="C51:H51"/>
    <mergeCell ref="A52:A54"/>
    <mergeCell ref="C52:H52"/>
    <mergeCell ref="B53:B54"/>
    <mergeCell ref="A55:A58"/>
    <mergeCell ref="C55:H55"/>
    <mergeCell ref="B56:B58"/>
    <mergeCell ref="C56:C57"/>
    <mergeCell ref="H56:H58"/>
    <mergeCell ref="C41:H41"/>
    <mergeCell ref="A42:A50"/>
    <mergeCell ref="B42:B49"/>
    <mergeCell ref="C42:C50"/>
    <mergeCell ref="D42:D44"/>
    <mergeCell ref="E42:E44"/>
    <mergeCell ref="D45:D47"/>
    <mergeCell ref="E45:E47"/>
    <mergeCell ref="F50:G50"/>
    <mergeCell ref="A37:H37"/>
    <mergeCell ref="A38:B38"/>
    <mergeCell ref="C38:H38"/>
    <mergeCell ref="A39:A40"/>
    <mergeCell ref="B39:B40"/>
    <mergeCell ref="C39:C40"/>
    <mergeCell ref="F39:G39"/>
    <mergeCell ref="H39:H40"/>
    <mergeCell ref="F40:G40"/>
    <mergeCell ref="A21:A34"/>
    <mergeCell ref="B21:B34"/>
    <mergeCell ref="C21:H21"/>
    <mergeCell ref="H22:H34"/>
    <mergeCell ref="A35:A36"/>
    <mergeCell ref="B35:B36"/>
    <mergeCell ref="A19:A20"/>
    <mergeCell ref="B19:B20"/>
    <mergeCell ref="C19:C20"/>
    <mergeCell ref="F19:G19"/>
    <mergeCell ref="H19:H20"/>
    <mergeCell ref="F20:G20"/>
    <mergeCell ref="F15:G15"/>
    <mergeCell ref="H15:H16"/>
    <mergeCell ref="F16:G16"/>
    <mergeCell ref="A17:A18"/>
    <mergeCell ref="B17:B18"/>
    <mergeCell ref="C17:C18"/>
    <mergeCell ref="F17:G17"/>
    <mergeCell ref="H17:H18"/>
    <mergeCell ref="F18:G18"/>
    <mergeCell ref="A8:H8"/>
    <mergeCell ref="A9:H9"/>
    <mergeCell ref="A75:A79"/>
    <mergeCell ref="A10:H10"/>
    <mergeCell ref="A11:H11"/>
    <mergeCell ref="A14:B14"/>
    <mergeCell ref="C14:H14"/>
    <mergeCell ref="A15:A16"/>
    <mergeCell ref="B15:B16"/>
    <mergeCell ref="C15:C16"/>
  </mergeCells>
  <printOptions/>
  <pageMargins left="0.11811023622047245" right="0.11811023622047245" top="0.15748031496062992" bottom="0.15748031496062992" header="0.31496062992125984" footer="0.31496062992125984"/>
  <pageSetup fitToHeight="3" fitToWidth="1" horizontalDpi="600" verticalDpi="600" orientation="portrait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41"/>
  <sheetViews>
    <sheetView zoomScale="80" zoomScaleNormal="80" zoomScalePageLayoutView="0" workbookViewId="0" topLeftCell="A1">
      <selection activeCell="H4" sqref="H4"/>
    </sheetView>
  </sheetViews>
  <sheetFormatPr defaultColWidth="9.140625" defaultRowHeight="15"/>
  <cols>
    <col min="1" max="1" width="5.140625" style="180" customWidth="1"/>
    <col min="2" max="2" width="9.421875" style="180" customWidth="1"/>
    <col min="3" max="3" width="62.8515625" style="180" customWidth="1"/>
    <col min="4" max="4" width="12.28125" style="180" customWidth="1"/>
    <col min="5" max="5" width="13.57421875" style="180" customWidth="1"/>
    <col min="6" max="7" width="13.28125" style="180" customWidth="1"/>
    <col min="8" max="8" width="73.00390625" style="180" customWidth="1"/>
    <col min="9" max="16384" width="9.140625" style="180" customWidth="1"/>
  </cols>
  <sheetData>
    <row r="1" spans="1:8" ht="15.75">
      <c r="A1" s="77"/>
      <c r="B1" s="77"/>
      <c r="C1" s="77"/>
      <c r="D1" s="77"/>
      <c r="E1" s="77"/>
      <c r="F1" s="77"/>
      <c r="G1" s="103"/>
      <c r="H1" s="103"/>
    </row>
    <row r="2" spans="1:8" ht="15.75">
      <c r="A2" s="77"/>
      <c r="B2" s="77"/>
      <c r="C2" s="77"/>
      <c r="D2" s="77"/>
      <c r="E2" s="77"/>
      <c r="F2" s="77"/>
      <c r="H2" s="109" t="s">
        <v>0</v>
      </c>
    </row>
    <row r="3" spans="1:8" ht="15.75">
      <c r="A3" s="77"/>
      <c r="B3" s="77"/>
      <c r="C3" s="77"/>
      <c r="D3" s="77"/>
      <c r="E3" s="77"/>
      <c r="F3" s="77"/>
      <c r="H3" s="104" t="s">
        <v>1</v>
      </c>
    </row>
    <row r="4" spans="1:8" ht="15.75">
      <c r="A4" s="96"/>
      <c r="B4" s="96"/>
      <c r="C4" s="96"/>
      <c r="D4" s="119"/>
      <c r="E4" s="119"/>
      <c r="F4" s="119"/>
      <c r="H4" s="110" t="s">
        <v>2</v>
      </c>
    </row>
    <row r="5" spans="1:8" ht="15.75">
      <c r="A5" s="96"/>
      <c r="B5" s="96"/>
      <c r="C5" s="96"/>
      <c r="D5" s="119"/>
      <c r="E5" s="119"/>
      <c r="F5" s="119"/>
      <c r="H5" s="120"/>
    </row>
    <row r="6" spans="1:8" ht="15.75">
      <c r="A6" s="96"/>
      <c r="B6" s="96"/>
      <c r="C6" s="96"/>
      <c r="D6" s="119"/>
      <c r="E6" s="119"/>
      <c r="F6" s="119"/>
      <c r="H6" s="111" t="s">
        <v>3</v>
      </c>
    </row>
    <row r="7" spans="1:8" ht="15.75">
      <c r="A7" s="77"/>
      <c r="B7" s="77"/>
      <c r="C7" s="77"/>
      <c r="D7" s="77"/>
      <c r="E7" s="77"/>
      <c r="F7" s="77"/>
      <c r="G7" s="78"/>
      <c r="H7" s="79"/>
    </row>
    <row r="8" spans="1:8" ht="15.75">
      <c r="A8" s="833" t="s">
        <v>4</v>
      </c>
      <c r="B8" s="833"/>
      <c r="C8" s="833"/>
      <c r="D8" s="833"/>
      <c r="E8" s="833"/>
      <c r="F8" s="833"/>
      <c r="G8" s="833"/>
      <c r="H8" s="833"/>
    </row>
    <row r="9" spans="1:8" ht="15.75">
      <c r="A9" s="833" t="s">
        <v>244</v>
      </c>
      <c r="B9" s="833"/>
      <c r="C9" s="833"/>
      <c r="D9" s="833"/>
      <c r="E9" s="833"/>
      <c r="F9" s="833"/>
      <c r="G9" s="833"/>
      <c r="H9" s="833"/>
    </row>
    <row r="10" spans="1:8" ht="15.75">
      <c r="A10" s="833" t="s">
        <v>245</v>
      </c>
      <c r="B10" s="833"/>
      <c r="C10" s="833"/>
      <c r="D10" s="833"/>
      <c r="E10" s="833"/>
      <c r="F10" s="833"/>
      <c r="G10" s="833"/>
      <c r="H10" s="833"/>
    </row>
    <row r="11" spans="1:8" ht="15.75">
      <c r="A11" s="833" t="s">
        <v>7</v>
      </c>
      <c r="B11" s="833"/>
      <c r="C11" s="833"/>
      <c r="D11" s="833"/>
      <c r="E11" s="833"/>
      <c r="F11" s="833"/>
      <c r="G11" s="833"/>
      <c r="H11" s="833"/>
    </row>
    <row r="12" spans="1:8" ht="15.75">
      <c r="A12" s="834"/>
      <c r="B12" s="834"/>
      <c r="C12" s="834"/>
      <c r="D12" s="834"/>
      <c r="E12" s="834"/>
      <c r="F12" s="834"/>
      <c r="G12" s="834"/>
      <c r="H12" s="834"/>
    </row>
    <row r="13" spans="1:8" ht="63">
      <c r="A13" s="9" t="s">
        <v>8</v>
      </c>
      <c r="B13" s="9" t="s">
        <v>9</v>
      </c>
      <c r="C13" s="9" t="s">
        <v>10</v>
      </c>
      <c r="D13" s="9" t="s">
        <v>11</v>
      </c>
      <c r="E13" s="9" t="s">
        <v>12</v>
      </c>
      <c r="F13" s="9" t="s">
        <v>13</v>
      </c>
      <c r="G13" s="146" t="s">
        <v>14</v>
      </c>
      <c r="H13" s="9" t="s">
        <v>15</v>
      </c>
    </row>
    <row r="14" spans="1:8" ht="15.75">
      <c r="A14" s="525" t="s">
        <v>16</v>
      </c>
      <c r="B14" s="525"/>
      <c r="C14" s="525"/>
      <c r="D14" s="525"/>
      <c r="E14" s="525"/>
      <c r="F14" s="525"/>
      <c r="G14" s="525"/>
      <c r="H14" s="525"/>
    </row>
    <row r="15" spans="1:8" ht="15.75">
      <c r="A15" s="549" t="s">
        <v>17</v>
      </c>
      <c r="B15" s="550"/>
      <c r="C15" s="525" t="s">
        <v>246</v>
      </c>
      <c r="D15" s="525"/>
      <c r="E15" s="525"/>
      <c r="F15" s="525"/>
      <c r="G15" s="525"/>
      <c r="H15" s="525"/>
    </row>
    <row r="16" spans="1:8" ht="21.75" customHeight="1">
      <c r="A16" s="529" t="s">
        <v>177</v>
      </c>
      <c r="B16" s="529" t="s">
        <v>19</v>
      </c>
      <c r="C16" s="531" t="s">
        <v>20</v>
      </c>
      <c r="D16" s="536" t="s">
        <v>21</v>
      </c>
      <c r="E16" s="30" t="s">
        <v>22</v>
      </c>
      <c r="F16" s="835" t="s">
        <v>76</v>
      </c>
      <c r="G16" s="836"/>
      <c r="H16" s="536" t="s">
        <v>247</v>
      </c>
    </row>
    <row r="17" spans="1:8" ht="21.75" customHeight="1">
      <c r="A17" s="530"/>
      <c r="B17" s="530"/>
      <c r="C17" s="532"/>
      <c r="D17" s="538"/>
      <c r="E17" s="30" t="s">
        <v>38</v>
      </c>
      <c r="F17" s="835" t="s">
        <v>76</v>
      </c>
      <c r="G17" s="836"/>
      <c r="H17" s="537"/>
    </row>
    <row r="18" spans="1:8" ht="21.75" customHeight="1">
      <c r="A18" s="539"/>
      <c r="B18" s="539"/>
      <c r="C18" s="533"/>
      <c r="D18" s="15" t="s">
        <v>25</v>
      </c>
      <c r="E18" s="83"/>
      <c r="F18" s="835" t="s">
        <v>76</v>
      </c>
      <c r="G18" s="836"/>
      <c r="H18" s="538"/>
    </row>
    <row r="19" spans="1:8" ht="18.75" customHeight="1">
      <c r="A19" s="529" t="s">
        <v>179</v>
      </c>
      <c r="B19" s="529" t="s">
        <v>28</v>
      </c>
      <c r="C19" s="531" t="s">
        <v>180</v>
      </c>
      <c r="D19" s="536" t="s">
        <v>21</v>
      </c>
      <c r="E19" s="30" t="s">
        <v>22</v>
      </c>
      <c r="F19" s="835" t="s">
        <v>76</v>
      </c>
      <c r="G19" s="836"/>
      <c r="H19" s="536" t="s">
        <v>248</v>
      </c>
    </row>
    <row r="20" spans="1:8" ht="18.75" customHeight="1">
      <c r="A20" s="530"/>
      <c r="B20" s="530"/>
      <c r="C20" s="532"/>
      <c r="D20" s="538"/>
      <c r="E20" s="30" t="s">
        <v>38</v>
      </c>
      <c r="F20" s="835" t="s">
        <v>76</v>
      </c>
      <c r="G20" s="836"/>
      <c r="H20" s="537"/>
    </row>
    <row r="21" spans="1:8" ht="18.75" customHeight="1">
      <c r="A21" s="539"/>
      <c r="B21" s="539"/>
      <c r="C21" s="533"/>
      <c r="D21" s="15" t="s">
        <v>25</v>
      </c>
      <c r="E21" s="83"/>
      <c r="F21" s="835" t="s">
        <v>76</v>
      </c>
      <c r="G21" s="836"/>
      <c r="H21" s="538"/>
    </row>
    <row r="22" spans="1:8" ht="15.75">
      <c r="A22" s="529" t="s">
        <v>182</v>
      </c>
      <c r="B22" s="529" t="s">
        <v>31</v>
      </c>
      <c r="C22" s="531" t="s">
        <v>32</v>
      </c>
      <c r="D22" s="536" t="s">
        <v>21</v>
      </c>
      <c r="E22" s="30" t="s">
        <v>22</v>
      </c>
      <c r="F22" s="835" t="s">
        <v>76</v>
      </c>
      <c r="G22" s="836"/>
      <c r="H22" s="536" t="s">
        <v>248</v>
      </c>
    </row>
    <row r="23" spans="1:8" ht="15.75">
      <c r="A23" s="530"/>
      <c r="B23" s="530"/>
      <c r="C23" s="532"/>
      <c r="D23" s="538"/>
      <c r="E23" s="30" t="s">
        <v>38</v>
      </c>
      <c r="F23" s="835" t="s">
        <v>76</v>
      </c>
      <c r="G23" s="836"/>
      <c r="H23" s="537"/>
    </row>
    <row r="24" spans="1:8" ht="15.75">
      <c r="A24" s="539"/>
      <c r="B24" s="539"/>
      <c r="C24" s="533"/>
      <c r="D24" s="12" t="s">
        <v>25</v>
      </c>
      <c r="E24" s="83"/>
      <c r="F24" s="835" t="s">
        <v>76</v>
      </c>
      <c r="G24" s="836"/>
      <c r="H24" s="538"/>
    </row>
    <row r="25" spans="1:8" ht="15.75">
      <c r="A25" s="529" t="s">
        <v>183</v>
      </c>
      <c r="B25" s="529" t="s">
        <v>577</v>
      </c>
      <c r="C25" s="549" t="s">
        <v>34</v>
      </c>
      <c r="D25" s="837"/>
      <c r="E25" s="837"/>
      <c r="F25" s="837"/>
      <c r="G25" s="837"/>
      <c r="H25" s="550"/>
    </row>
    <row r="26" spans="1:8" ht="15.75">
      <c r="A26" s="530"/>
      <c r="B26" s="530"/>
      <c r="C26" s="537" t="s">
        <v>249</v>
      </c>
      <c r="D26" s="32" t="s">
        <v>21</v>
      </c>
      <c r="E26" s="32" t="s">
        <v>22</v>
      </c>
      <c r="F26" s="84">
        <v>4517</v>
      </c>
      <c r="G26" s="84">
        <f>F26*1.2</f>
        <v>5420.4</v>
      </c>
      <c r="H26" s="531" t="s">
        <v>682</v>
      </c>
    </row>
    <row r="27" spans="1:8" ht="15.75">
      <c r="A27" s="530"/>
      <c r="B27" s="530"/>
      <c r="C27" s="538"/>
      <c r="D27" s="30" t="s">
        <v>21</v>
      </c>
      <c r="E27" s="30" t="s">
        <v>38</v>
      </c>
      <c r="F27" s="147">
        <v>7554</v>
      </c>
      <c r="G27" s="84">
        <f aca="true" t="shared" si="0" ref="G27:G53">F27*1.2</f>
        <v>9064.8</v>
      </c>
      <c r="H27" s="532"/>
    </row>
    <row r="28" spans="1:8" ht="15.75">
      <c r="A28" s="530"/>
      <c r="B28" s="530"/>
      <c r="C28" s="536" t="s">
        <v>250</v>
      </c>
      <c r="D28" s="30" t="s">
        <v>21</v>
      </c>
      <c r="E28" s="30" t="s">
        <v>22</v>
      </c>
      <c r="F28" s="147">
        <v>5443</v>
      </c>
      <c r="G28" s="84">
        <f t="shared" si="0"/>
        <v>6531.599999999999</v>
      </c>
      <c r="H28" s="532"/>
    </row>
    <row r="29" spans="1:8" ht="15.75">
      <c r="A29" s="530"/>
      <c r="B29" s="530"/>
      <c r="C29" s="538"/>
      <c r="D29" s="30" t="s">
        <v>21</v>
      </c>
      <c r="E29" s="30" t="s">
        <v>38</v>
      </c>
      <c r="F29" s="147">
        <v>8248</v>
      </c>
      <c r="G29" s="84">
        <f t="shared" si="0"/>
        <v>9897.6</v>
      </c>
      <c r="H29" s="532"/>
    </row>
    <row r="30" spans="1:8" ht="15.75">
      <c r="A30" s="530"/>
      <c r="B30" s="530"/>
      <c r="C30" s="536" t="s">
        <v>251</v>
      </c>
      <c r="D30" s="30" t="s">
        <v>21</v>
      </c>
      <c r="E30" s="30" t="s">
        <v>22</v>
      </c>
      <c r="F30" s="147">
        <v>6509</v>
      </c>
      <c r="G30" s="84">
        <f t="shared" si="0"/>
        <v>7810.799999999999</v>
      </c>
      <c r="H30" s="532"/>
    </row>
    <row r="31" spans="1:8" ht="15.75">
      <c r="A31" s="530"/>
      <c r="B31" s="530"/>
      <c r="C31" s="538"/>
      <c r="D31" s="30" t="s">
        <v>21</v>
      </c>
      <c r="E31" s="30" t="s">
        <v>38</v>
      </c>
      <c r="F31" s="147">
        <v>9595</v>
      </c>
      <c r="G31" s="84">
        <f t="shared" si="0"/>
        <v>11514</v>
      </c>
      <c r="H31" s="532"/>
    </row>
    <row r="32" spans="1:8" ht="15.75">
      <c r="A32" s="530"/>
      <c r="B32" s="530"/>
      <c r="C32" s="536" t="s">
        <v>252</v>
      </c>
      <c r="D32" s="30" t="s">
        <v>21</v>
      </c>
      <c r="E32" s="30" t="s">
        <v>22</v>
      </c>
      <c r="F32" s="147">
        <v>6764</v>
      </c>
      <c r="G32" s="84">
        <f t="shared" si="0"/>
        <v>8116.799999999999</v>
      </c>
      <c r="H32" s="532"/>
    </row>
    <row r="33" spans="1:8" ht="15.75">
      <c r="A33" s="530"/>
      <c r="B33" s="530"/>
      <c r="C33" s="538"/>
      <c r="D33" s="30" t="s">
        <v>21</v>
      </c>
      <c r="E33" s="30" t="s">
        <v>38</v>
      </c>
      <c r="F33" s="147">
        <v>10045</v>
      </c>
      <c r="G33" s="84">
        <f t="shared" si="0"/>
        <v>12054</v>
      </c>
      <c r="H33" s="532"/>
    </row>
    <row r="34" spans="1:8" ht="15.75">
      <c r="A34" s="530"/>
      <c r="B34" s="530"/>
      <c r="C34" s="536" t="s">
        <v>253</v>
      </c>
      <c r="D34" s="30" t="s">
        <v>21</v>
      </c>
      <c r="E34" s="30" t="s">
        <v>22</v>
      </c>
      <c r="F34" s="147">
        <v>7820</v>
      </c>
      <c r="G34" s="84">
        <f t="shared" si="0"/>
        <v>9384</v>
      </c>
      <c r="H34" s="532"/>
    </row>
    <row r="35" spans="1:8" ht="15.75">
      <c r="A35" s="530"/>
      <c r="B35" s="530"/>
      <c r="C35" s="538"/>
      <c r="D35" s="30" t="s">
        <v>21</v>
      </c>
      <c r="E35" s="30" t="s">
        <v>38</v>
      </c>
      <c r="F35" s="147">
        <v>10853</v>
      </c>
      <c r="G35" s="84">
        <f t="shared" si="0"/>
        <v>13023.6</v>
      </c>
      <c r="H35" s="532"/>
    </row>
    <row r="36" spans="1:8" ht="15.75">
      <c r="A36" s="530"/>
      <c r="B36" s="530"/>
      <c r="C36" s="536" t="s">
        <v>254</v>
      </c>
      <c r="D36" s="30" t="s">
        <v>21</v>
      </c>
      <c r="E36" s="30" t="s">
        <v>22</v>
      </c>
      <c r="F36" s="147">
        <v>7862</v>
      </c>
      <c r="G36" s="84">
        <f t="shared" si="0"/>
        <v>9434.4</v>
      </c>
      <c r="H36" s="532"/>
    </row>
    <row r="37" spans="1:8" ht="15.75">
      <c r="A37" s="530"/>
      <c r="B37" s="530"/>
      <c r="C37" s="538"/>
      <c r="D37" s="30" t="s">
        <v>21</v>
      </c>
      <c r="E37" s="30" t="s">
        <v>38</v>
      </c>
      <c r="F37" s="147">
        <v>11285</v>
      </c>
      <c r="G37" s="84">
        <f t="shared" si="0"/>
        <v>13542</v>
      </c>
      <c r="H37" s="532"/>
    </row>
    <row r="38" spans="1:8" ht="15.75">
      <c r="A38" s="530"/>
      <c r="B38" s="530"/>
      <c r="C38" s="536" t="s">
        <v>255</v>
      </c>
      <c r="D38" s="30" t="s">
        <v>21</v>
      </c>
      <c r="E38" s="30" t="s">
        <v>22</v>
      </c>
      <c r="F38" s="147">
        <v>12142</v>
      </c>
      <c r="G38" s="84">
        <f t="shared" si="0"/>
        <v>14570.4</v>
      </c>
      <c r="H38" s="532"/>
    </row>
    <row r="39" spans="1:8" ht="15.75">
      <c r="A39" s="530"/>
      <c r="B39" s="530"/>
      <c r="C39" s="538"/>
      <c r="D39" s="30" t="s">
        <v>21</v>
      </c>
      <c r="E39" s="30" t="s">
        <v>38</v>
      </c>
      <c r="F39" s="147">
        <v>16422</v>
      </c>
      <c r="G39" s="84">
        <f t="shared" si="0"/>
        <v>19706.399999999998</v>
      </c>
      <c r="H39" s="532"/>
    </row>
    <row r="40" spans="1:8" ht="15.75">
      <c r="A40" s="530"/>
      <c r="B40" s="530"/>
      <c r="C40" s="536" t="s">
        <v>256</v>
      </c>
      <c r="D40" s="30" t="s">
        <v>21</v>
      </c>
      <c r="E40" s="30" t="s">
        <v>22</v>
      </c>
      <c r="F40" s="147">
        <v>15596</v>
      </c>
      <c r="G40" s="84">
        <f t="shared" si="0"/>
        <v>18715.2</v>
      </c>
      <c r="H40" s="532"/>
    </row>
    <row r="41" spans="1:8" ht="15.75">
      <c r="A41" s="530"/>
      <c r="B41" s="530"/>
      <c r="C41" s="538"/>
      <c r="D41" s="30" t="s">
        <v>21</v>
      </c>
      <c r="E41" s="30" t="s">
        <v>38</v>
      </c>
      <c r="F41" s="147">
        <v>18134</v>
      </c>
      <c r="G41" s="84">
        <f t="shared" si="0"/>
        <v>21760.8</v>
      </c>
      <c r="H41" s="532"/>
    </row>
    <row r="42" spans="1:8" ht="15.75">
      <c r="A42" s="530"/>
      <c r="B42" s="530"/>
      <c r="C42" s="536" t="s">
        <v>257</v>
      </c>
      <c r="D42" s="30" t="s">
        <v>21</v>
      </c>
      <c r="E42" s="30" t="s">
        <v>22</v>
      </c>
      <c r="F42" s="147">
        <v>18715</v>
      </c>
      <c r="G42" s="84">
        <f t="shared" si="0"/>
        <v>22458</v>
      </c>
      <c r="H42" s="532"/>
    </row>
    <row r="43" spans="1:8" ht="15.75">
      <c r="A43" s="530"/>
      <c r="B43" s="530"/>
      <c r="C43" s="538"/>
      <c r="D43" s="30" t="s">
        <v>21</v>
      </c>
      <c r="E43" s="30" t="s">
        <v>38</v>
      </c>
      <c r="F43" s="147">
        <v>23393</v>
      </c>
      <c r="G43" s="84">
        <f t="shared" si="0"/>
        <v>28071.6</v>
      </c>
      <c r="H43" s="532"/>
    </row>
    <row r="44" spans="1:8" ht="15.75">
      <c r="A44" s="530"/>
      <c r="B44" s="530"/>
      <c r="C44" s="537" t="s">
        <v>258</v>
      </c>
      <c r="D44" s="30" t="s">
        <v>21</v>
      </c>
      <c r="E44" s="30" t="s">
        <v>22</v>
      </c>
      <c r="F44" s="147">
        <v>24401</v>
      </c>
      <c r="G44" s="84">
        <f t="shared" si="0"/>
        <v>29281.2</v>
      </c>
      <c r="H44" s="532"/>
    </row>
    <row r="45" spans="1:8" ht="15.75">
      <c r="A45" s="530"/>
      <c r="B45" s="530"/>
      <c r="C45" s="538"/>
      <c r="D45" s="30" t="s">
        <v>21</v>
      </c>
      <c r="E45" s="30" t="s">
        <v>38</v>
      </c>
      <c r="F45" s="147">
        <v>30000</v>
      </c>
      <c r="G45" s="84">
        <f t="shared" si="0"/>
        <v>36000</v>
      </c>
      <c r="H45" s="532"/>
    </row>
    <row r="46" spans="1:8" ht="15.75">
      <c r="A46" s="530"/>
      <c r="B46" s="530"/>
      <c r="C46" s="537" t="s">
        <v>259</v>
      </c>
      <c r="D46" s="30" t="s">
        <v>21</v>
      </c>
      <c r="E46" s="30" t="s">
        <v>22</v>
      </c>
      <c r="F46" s="147">
        <v>30975</v>
      </c>
      <c r="G46" s="84">
        <f t="shared" si="0"/>
        <v>37170</v>
      </c>
      <c r="H46" s="532"/>
    </row>
    <row r="47" spans="1:8" ht="15.75">
      <c r="A47" s="530"/>
      <c r="B47" s="530"/>
      <c r="C47" s="538"/>
      <c r="D47" s="30" t="s">
        <v>21</v>
      </c>
      <c r="E47" s="30" t="s">
        <v>38</v>
      </c>
      <c r="F47" s="147">
        <v>36969</v>
      </c>
      <c r="G47" s="84">
        <f t="shared" si="0"/>
        <v>44362.799999999996</v>
      </c>
      <c r="H47" s="532"/>
    </row>
    <row r="48" spans="1:8" ht="15.75">
      <c r="A48" s="530"/>
      <c r="B48" s="530"/>
      <c r="C48" s="536" t="s">
        <v>260</v>
      </c>
      <c r="D48" s="30" t="s">
        <v>21</v>
      </c>
      <c r="E48" s="30" t="s">
        <v>22</v>
      </c>
      <c r="F48" s="147">
        <v>37825</v>
      </c>
      <c r="G48" s="84">
        <f t="shared" si="0"/>
        <v>45390</v>
      </c>
      <c r="H48" s="532"/>
    </row>
    <row r="49" spans="1:8" ht="15.75">
      <c r="A49" s="530"/>
      <c r="B49" s="530"/>
      <c r="C49" s="538"/>
      <c r="D49" s="30" t="s">
        <v>21</v>
      </c>
      <c r="E49" s="30" t="s">
        <v>38</v>
      </c>
      <c r="F49" s="147">
        <v>45531</v>
      </c>
      <c r="G49" s="84">
        <f t="shared" si="0"/>
        <v>54637.2</v>
      </c>
      <c r="H49" s="532"/>
    </row>
    <row r="50" spans="1:8" ht="15.75">
      <c r="A50" s="530"/>
      <c r="B50" s="530"/>
      <c r="C50" s="536" t="s">
        <v>261</v>
      </c>
      <c r="D50" s="30" t="s">
        <v>21</v>
      </c>
      <c r="E50" s="30" t="s">
        <v>22</v>
      </c>
      <c r="F50" s="147">
        <v>45729</v>
      </c>
      <c r="G50" s="84">
        <f t="shared" si="0"/>
        <v>54874.799999999996</v>
      </c>
      <c r="H50" s="532"/>
    </row>
    <row r="51" spans="1:8" ht="15.75">
      <c r="A51" s="530"/>
      <c r="B51" s="530"/>
      <c r="C51" s="538"/>
      <c r="D51" s="30" t="s">
        <v>21</v>
      </c>
      <c r="E51" s="30" t="s">
        <v>38</v>
      </c>
      <c r="F51" s="147">
        <v>55589</v>
      </c>
      <c r="G51" s="84">
        <f t="shared" si="0"/>
        <v>66706.8</v>
      </c>
      <c r="H51" s="532"/>
    </row>
    <row r="52" spans="1:8" ht="15.75">
      <c r="A52" s="530"/>
      <c r="B52" s="530"/>
      <c r="C52" s="536" t="s">
        <v>262</v>
      </c>
      <c r="D52" s="30" t="s">
        <v>21</v>
      </c>
      <c r="E52" s="30" t="s">
        <v>22</v>
      </c>
      <c r="F52" s="147">
        <v>41165</v>
      </c>
      <c r="G52" s="84">
        <f t="shared" si="0"/>
        <v>49398</v>
      </c>
      <c r="H52" s="532"/>
    </row>
    <row r="53" spans="1:8" ht="15.75">
      <c r="A53" s="539"/>
      <c r="B53" s="539"/>
      <c r="C53" s="538"/>
      <c r="D53" s="30" t="s">
        <v>21</v>
      </c>
      <c r="E53" s="30" t="s">
        <v>38</v>
      </c>
      <c r="F53" s="147">
        <v>48923</v>
      </c>
      <c r="G53" s="84">
        <f t="shared" si="0"/>
        <v>58707.6</v>
      </c>
      <c r="H53" s="533"/>
    </row>
    <row r="54" spans="1:8" ht="15.75">
      <c r="A54" s="838" t="s">
        <v>263</v>
      </c>
      <c r="B54" s="11" t="s">
        <v>197</v>
      </c>
      <c r="C54" s="549" t="s">
        <v>198</v>
      </c>
      <c r="D54" s="837"/>
      <c r="E54" s="837"/>
      <c r="F54" s="837"/>
      <c r="G54" s="837"/>
      <c r="H54" s="550"/>
    </row>
    <row r="55" spans="1:8" ht="15.75">
      <c r="A55" s="546"/>
      <c r="B55" s="527"/>
      <c r="C55" s="536" t="s">
        <v>199</v>
      </c>
      <c r="D55" s="536" t="s">
        <v>21</v>
      </c>
      <c r="E55" s="30" t="s">
        <v>22</v>
      </c>
      <c r="F55" s="181">
        <v>7609</v>
      </c>
      <c r="G55" s="84">
        <f>F55*1.2</f>
        <v>9130.8</v>
      </c>
      <c r="H55" s="12" t="s">
        <v>264</v>
      </c>
    </row>
    <row r="56" spans="1:8" ht="15.75">
      <c r="A56" s="546"/>
      <c r="B56" s="527"/>
      <c r="C56" s="537"/>
      <c r="D56" s="537"/>
      <c r="E56" s="30" t="s">
        <v>22</v>
      </c>
      <c r="F56" s="147">
        <v>8397</v>
      </c>
      <c r="G56" s="84">
        <f>F56*1.2</f>
        <v>10076.4</v>
      </c>
      <c r="H56" s="12" t="s">
        <v>265</v>
      </c>
    </row>
    <row r="57" spans="1:8" ht="15.75">
      <c r="A57" s="546"/>
      <c r="B57" s="527"/>
      <c r="C57" s="538"/>
      <c r="D57" s="538"/>
      <c r="E57" s="30" t="s">
        <v>38</v>
      </c>
      <c r="F57" s="182">
        <v>8523</v>
      </c>
      <c r="G57" s="84">
        <f aca="true" t="shared" si="1" ref="G57:G62">F57*1.2</f>
        <v>10227.6</v>
      </c>
      <c r="H57" s="83"/>
    </row>
    <row r="58" spans="1:8" ht="15.75">
      <c r="A58" s="546"/>
      <c r="B58" s="527"/>
      <c r="C58" s="536" t="s">
        <v>202</v>
      </c>
      <c r="D58" s="536" t="s">
        <v>21</v>
      </c>
      <c r="E58" s="30" t="s">
        <v>22</v>
      </c>
      <c r="F58" s="147">
        <v>5721</v>
      </c>
      <c r="G58" s="84">
        <f t="shared" si="1"/>
        <v>6865.2</v>
      </c>
      <c r="H58" s="12" t="s">
        <v>264</v>
      </c>
    </row>
    <row r="59" spans="1:8" ht="15.75">
      <c r="A59" s="546"/>
      <c r="B59" s="527"/>
      <c r="C59" s="537"/>
      <c r="D59" s="537"/>
      <c r="E59" s="30" t="s">
        <v>22</v>
      </c>
      <c r="F59" s="147">
        <v>6509</v>
      </c>
      <c r="G59" s="84">
        <f t="shared" si="1"/>
        <v>7810.799999999999</v>
      </c>
      <c r="H59" s="12" t="s">
        <v>265</v>
      </c>
    </row>
    <row r="60" spans="1:8" ht="15.75">
      <c r="A60" s="546"/>
      <c r="B60" s="527"/>
      <c r="C60" s="538"/>
      <c r="D60" s="538"/>
      <c r="E60" s="30" t="s">
        <v>38</v>
      </c>
      <c r="F60" s="147">
        <v>6509</v>
      </c>
      <c r="G60" s="84">
        <f t="shared" si="1"/>
        <v>7810.799999999999</v>
      </c>
      <c r="H60" s="83"/>
    </row>
    <row r="61" spans="1:8" ht="15.75">
      <c r="A61" s="546"/>
      <c r="B61" s="527"/>
      <c r="C61" s="536" t="s">
        <v>202</v>
      </c>
      <c r="D61" s="536" t="s">
        <v>21</v>
      </c>
      <c r="E61" s="30" t="s">
        <v>22</v>
      </c>
      <c r="F61" s="147">
        <v>5291</v>
      </c>
      <c r="G61" s="84">
        <f t="shared" si="1"/>
        <v>6349.2</v>
      </c>
      <c r="H61" s="30" t="s">
        <v>266</v>
      </c>
    </row>
    <row r="62" spans="1:8" ht="15.75">
      <c r="A62" s="839"/>
      <c r="B62" s="527"/>
      <c r="C62" s="538"/>
      <c r="D62" s="538"/>
      <c r="E62" s="30" t="s">
        <v>38</v>
      </c>
      <c r="F62" s="147">
        <v>5417</v>
      </c>
      <c r="G62" s="84">
        <f t="shared" si="1"/>
        <v>6500.4</v>
      </c>
      <c r="H62" s="30" t="s">
        <v>266</v>
      </c>
    </row>
    <row r="63" spans="1:8" ht="15.75">
      <c r="A63" s="525" t="s">
        <v>267</v>
      </c>
      <c r="B63" s="529" t="s">
        <v>57</v>
      </c>
      <c r="C63" s="536" t="s">
        <v>58</v>
      </c>
      <c r="D63" s="536" t="s">
        <v>21</v>
      </c>
      <c r="E63" s="30" t="s">
        <v>22</v>
      </c>
      <c r="F63" s="835" t="s">
        <v>76</v>
      </c>
      <c r="G63" s="836"/>
      <c r="H63" s="536"/>
    </row>
    <row r="64" spans="1:8" ht="15.75">
      <c r="A64" s="525"/>
      <c r="B64" s="530"/>
      <c r="C64" s="537"/>
      <c r="D64" s="538"/>
      <c r="E64" s="41" t="s">
        <v>38</v>
      </c>
      <c r="F64" s="835" t="s">
        <v>76</v>
      </c>
      <c r="G64" s="836"/>
      <c r="H64" s="537"/>
    </row>
    <row r="65" spans="1:8" ht="15.75">
      <c r="A65" s="525"/>
      <c r="B65" s="539"/>
      <c r="C65" s="538"/>
      <c r="D65" s="32" t="s">
        <v>25</v>
      </c>
      <c r="E65" s="30" t="s">
        <v>25</v>
      </c>
      <c r="F65" s="835" t="s">
        <v>76</v>
      </c>
      <c r="G65" s="836"/>
      <c r="H65" s="538"/>
    </row>
    <row r="66" spans="1:8" ht="15.75">
      <c r="A66" s="840" t="s">
        <v>68</v>
      </c>
      <c r="B66" s="841"/>
      <c r="C66" s="841"/>
      <c r="D66" s="841"/>
      <c r="E66" s="841"/>
      <c r="F66" s="841"/>
      <c r="G66" s="841"/>
      <c r="H66" s="842"/>
    </row>
    <row r="67" spans="1:8" ht="15.75">
      <c r="A67" s="549" t="s">
        <v>69</v>
      </c>
      <c r="B67" s="550"/>
      <c r="C67" s="549" t="s">
        <v>70</v>
      </c>
      <c r="D67" s="837"/>
      <c r="E67" s="837"/>
      <c r="F67" s="837"/>
      <c r="G67" s="837"/>
      <c r="H67" s="550"/>
    </row>
    <row r="68" spans="1:8" ht="15.75">
      <c r="A68" s="838">
        <v>7</v>
      </c>
      <c r="B68" s="529" t="s">
        <v>71</v>
      </c>
      <c r="C68" s="536" t="s">
        <v>72</v>
      </c>
      <c r="D68" s="536" t="s">
        <v>21</v>
      </c>
      <c r="E68" s="26" t="s">
        <v>22</v>
      </c>
      <c r="F68" s="835" t="s">
        <v>76</v>
      </c>
      <c r="G68" s="836"/>
      <c r="H68" s="536"/>
    </row>
    <row r="69" spans="1:8" ht="15.75">
      <c r="A69" s="546"/>
      <c r="B69" s="530"/>
      <c r="C69" s="537"/>
      <c r="D69" s="538"/>
      <c r="E69" s="26" t="s">
        <v>38</v>
      </c>
      <c r="F69" s="835" t="s">
        <v>76</v>
      </c>
      <c r="G69" s="836"/>
      <c r="H69" s="537"/>
    </row>
    <row r="70" spans="1:8" ht="15.75">
      <c r="A70" s="546"/>
      <c r="B70" s="539"/>
      <c r="C70" s="538"/>
      <c r="D70" s="30" t="s">
        <v>25</v>
      </c>
      <c r="E70" s="83"/>
      <c r="F70" s="843" t="s">
        <v>76</v>
      </c>
      <c r="G70" s="844"/>
      <c r="H70" s="538"/>
    </row>
    <row r="71" spans="1:8" ht="33.75" customHeight="1">
      <c r="A71" s="838">
        <v>8</v>
      </c>
      <c r="B71" s="529" t="s">
        <v>73</v>
      </c>
      <c r="C71" s="536" t="s">
        <v>74</v>
      </c>
      <c r="D71" s="30" t="s">
        <v>689</v>
      </c>
      <c r="E71" s="31" t="s">
        <v>21</v>
      </c>
      <c r="F71" s="835" t="s">
        <v>76</v>
      </c>
      <c r="G71" s="836"/>
      <c r="H71" s="845" t="s">
        <v>77</v>
      </c>
    </row>
    <row r="72" spans="1:8" ht="33.75" customHeight="1">
      <c r="A72" s="546"/>
      <c r="B72" s="530"/>
      <c r="C72" s="537"/>
      <c r="D72" s="32" t="s">
        <v>78</v>
      </c>
      <c r="E72" s="31" t="s">
        <v>25</v>
      </c>
      <c r="F72" s="835" t="s">
        <v>76</v>
      </c>
      <c r="G72" s="836"/>
      <c r="H72" s="846"/>
    </row>
    <row r="73" spans="1:8" ht="78.75">
      <c r="A73" s="546"/>
      <c r="B73" s="530"/>
      <c r="C73" s="537"/>
      <c r="D73" s="536" t="s">
        <v>689</v>
      </c>
      <c r="E73" s="536" t="s">
        <v>212</v>
      </c>
      <c r="F73" s="32" t="s">
        <v>268</v>
      </c>
      <c r="G73" s="24">
        <f aca="true" t="shared" si="2" ref="G73:G80">F73*1.2</f>
        <v>360</v>
      </c>
      <c r="H73" s="173" t="s">
        <v>691</v>
      </c>
    </row>
    <row r="74" spans="1:8" ht="78.75">
      <c r="A74" s="546"/>
      <c r="B74" s="530"/>
      <c r="C74" s="537"/>
      <c r="D74" s="537"/>
      <c r="E74" s="537"/>
      <c r="F74" s="41" t="s">
        <v>269</v>
      </c>
      <c r="G74" s="22">
        <f t="shared" si="2"/>
        <v>720</v>
      </c>
      <c r="H74" s="173" t="s">
        <v>692</v>
      </c>
    </row>
    <row r="75" spans="1:8" ht="78.75">
      <c r="A75" s="546"/>
      <c r="B75" s="530"/>
      <c r="C75" s="537"/>
      <c r="D75" s="538"/>
      <c r="E75" s="538"/>
      <c r="F75" s="30" t="s">
        <v>271</v>
      </c>
      <c r="G75" s="26">
        <f t="shared" si="2"/>
        <v>1200</v>
      </c>
      <c r="H75" s="113" t="s">
        <v>272</v>
      </c>
    </row>
    <row r="76" spans="1:8" ht="78.75">
      <c r="A76" s="546"/>
      <c r="B76" s="530"/>
      <c r="C76" s="537"/>
      <c r="D76" s="536" t="s">
        <v>689</v>
      </c>
      <c r="E76" s="536" t="s">
        <v>273</v>
      </c>
      <c r="F76" s="32" t="s">
        <v>274</v>
      </c>
      <c r="G76" s="24">
        <f t="shared" si="2"/>
        <v>600</v>
      </c>
      <c r="H76" s="173" t="s">
        <v>80</v>
      </c>
    </row>
    <row r="77" spans="1:8" ht="78.75">
      <c r="A77" s="546"/>
      <c r="B77" s="530"/>
      <c r="C77" s="537"/>
      <c r="D77" s="537"/>
      <c r="E77" s="537"/>
      <c r="F77" s="41" t="s">
        <v>275</v>
      </c>
      <c r="G77" s="22">
        <f t="shared" si="2"/>
        <v>900</v>
      </c>
      <c r="H77" s="173" t="s">
        <v>270</v>
      </c>
    </row>
    <row r="78" spans="1:8" ht="78.75">
      <c r="A78" s="546"/>
      <c r="B78" s="530"/>
      <c r="C78" s="537"/>
      <c r="D78" s="538"/>
      <c r="E78" s="538"/>
      <c r="F78" s="30" t="s">
        <v>271</v>
      </c>
      <c r="G78" s="26">
        <f t="shared" si="2"/>
        <v>1200</v>
      </c>
      <c r="H78" s="113" t="s">
        <v>693</v>
      </c>
    </row>
    <row r="79" spans="1:8" ht="78.75">
      <c r="A79" s="546"/>
      <c r="B79" s="530"/>
      <c r="C79" s="537"/>
      <c r="D79" s="536" t="s">
        <v>531</v>
      </c>
      <c r="E79" s="24" t="s">
        <v>25</v>
      </c>
      <c r="F79" s="85">
        <v>2112</v>
      </c>
      <c r="G79" s="24">
        <f t="shared" si="2"/>
        <v>2534.4</v>
      </c>
      <c r="H79" s="14" t="s">
        <v>694</v>
      </c>
    </row>
    <row r="80" spans="1:8" ht="78.75">
      <c r="A80" s="839"/>
      <c r="B80" s="539"/>
      <c r="C80" s="538"/>
      <c r="D80" s="538"/>
      <c r="E80" s="26" t="s">
        <v>25</v>
      </c>
      <c r="F80" s="13">
        <v>3168</v>
      </c>
      <c r="G80" s="24">
        <f t="shared" si="2"/>
        <v>3801.6</v>
      </c>
      <c r="H80" s="12" t="s">
        <v>695</v>
      </c>
    </row>
    <row r="81" spans="1:8" ht="15.75">
      <c r="A81" s="838">
        <v>9</v>
      </c>
      <c r="B81" s="529" t="s">
        <v>276</v>
      </c>
      <c r="C81" s="536" t="s">
        <v>277</v>
      </c>
      <c r="D81" s="536" t="s">
        <v>21</v>
      </c>
      <c r="E81" s="26" t="s">
        <v>22</v>
      </c>
      <c r="F81" s="835" t="s">
        <v>76</v>
      </c>
      <c r="G81" s="836"/>
      <c r="H81" s="536"/>
    </row>
    <row r="82" spans="1:8" ht="15.75">
      <c r="A82" s="546"/>
      <c r="B82" s="530"/>
      <c r="C82" s="537"/>
      <c r="D82" s="538"/>
      <c r="E82" s="26" t="s">
        <v>38</v>
      </c>
      <c r="F82" s="835" t="s">
        <v>76</v>
      </c>
      <c r="G82" s="836"/>
      <c r="H82" s="537"/>
    </row>
    <row r="83" spans="1:8" ht="15.75">
      <c r="A83" s="546"/>
      <c r="B83" s="539"/>
      <c r="C83" s="538"/>
      <c r="D83" s="32" t="s">
        <v>25</v>
      </c>
      <c r="E83" s="26"/>
      <c r="F83" s="835" t="s">
        <v>76</v>
      </c>
      <c r="G83" s="836"/>
      <c r="H83" s="538"/>
    </row>
    <row r="84" spans="1:8" ht="15.75">
      <c r="A84" s="549" t="s">
        <v>86</v>
      </c>
      <c r="B84" s="550"/>
      <c r="C84" s="549" t="s">
        <v>87</v>
      </c>
      <c r="D84" s="837"/>
      <c r="E84" s="837"/>
      <c r="F84" s="837"/>
      <c r="G84" s="837"/>
      <c r="H84" s="550"/>
    </row>
    <row r="85" spans="1:8" ht="15.75">
      <c r="A85" s="838">
        <v>10</v>
      </c>
      <c r="B85" s="10" t="s">
        <v>88</v>
      </c>
      <c r="C85" s="525" t="s">
        <v>90</v>
      </c>
      <c r="D85" s="525"/>
      <c r="E85" s="525"/>
      <c r="F85" s="525"/>
      <c r="G85" s="525"/>
      <c r="H85" s="10"/>
    </row>
    <row r="86" spans="1:8" ht="63">
      <c r="A86" s="546"/>
      <c r="B86" s="838" t="s">
        <v>122</v>
      </c>
      <c r="C86" s="12" t="s">
        <v>278</v>
      </c>
      <c r="D86" s="642" t="s">
        <v>91</v>
      </c>
      <c r="E86" s="646" t="s">
        <v>22</v>
      </c>
      <c r="F86" s="26">
        <v>1159</v>
      </c>
      <c r="G86" s="26">
        <f>F86*1.2</f>
        <v>1390.8</v>
      </c>
      <c r="H86" s="23" t="s">
        <v>279</v>
      </c>
    </row>
    <row r="87" spans="1:8" ht="31.5">
      <c r="A87" s="546"/>
      <c r="B87" s="546"/>
      <c r="C87" s="12" t="s">
        <v>280</v>
      </c>
      <c r="D87" s="642"/>
      <c r="E87" s="646"/>
      <c r="F87" s="13">
        <v>1553</v>
      </c>
      <c r="G87" s="26">
        <f>F87*1.2</f>
        <v>1863.6</v>
      </c>
      <c r="H87" s="23" t="s">
        <v>281</v>
      </c>
    </row>
    <row r="88" spans="1:8" ht="31.5">
      <c r="A88" s="546"/>
      <c r="B88" s="546"/>
      <c r="C88" s="12" t="s">
        <v>282</v>
      </c>
      <c r="D88" s="23" t="s">
        <v>91</v>
      </c>
      <c r="E88" s="26" t="s">
        <v>212</v>
      </c>
      <c r="F88" s="26">
        <v>944</v>
      </c>
      <c r="G88" s="26">
        <f>F88*1.2</f>
        <v>1132.8</v>
      </c>
      <c r="H88" s="174"/>
    </row>
    <row r="89" spans="1:8" ht="31.5">
      <c r="A89" s="546"/>
      <c r="B89" s="546"/>
      <c r="C89" s="12" t="s">
        <v>283</v>
      </c>
      <c r="D89" s="642" t="s">
        <v>91</v>
      </c>
      <c r="E89" s="646" t="s">
        <v>38</v>
      </c>
      <c r="F89" s="26">
        <v>1553</v>
      </c>
      <c r="G89" s="26">
        <f>F89*1.2</f>
        <v>1863.6</v>
      </c>
      <c r="H89" s="175"/>
    </row>
    <row r="90" spans="1:8" ht="31.5">
      <c r="A90" s="839"/>
      <c r="B90" s="839"/>
      <c r="C90" s="12" t="s">
        <v>282</v>
      </c>
      <c r="D90" s="642"/>
      <c r="E90" s="646"/>
      <c r="F90" s="26">
        <v>1007</v>
      </c>
      <c r="G90" s="26">
        <f>F90*1.2</f>
        <v>1208.3999999999999</v>
      </c>
      <c r="H90" s="175"/>
    </row>
    <row r="91" spans="1:8" ht="15.75">
      <c r="A91" s="838">
        <v>11</v>
      </c>
      <c r="B91" s="16" t="s">
        <v>97</v>
      </c>
      <c r="C91" s="847" t="s">
        <v>96</v>
      </c>
      <c r="D91" s="848"/>
      <c r="E91" s="848"/>
      <c r="F91" s="848"/>
      <c r="G91" s="849"/>
      <c r="H91" s="34"/>
    </row>
    <row r="92" spans="1:8" ht="173.25">
      <c r="A92" s="546"/>
      <c r="B92" s="529"/>
      <c r="C92" s="19" t="s">
        <v>284</v>
      </c>
      <c r="D92" s="23" t="s">
        <v>79</v>
      </c>
      <c r="E92" s="26" t="s">
        <v>285</v>
      </c>
      <c r="F92" s="26">
        <v>311</v>
      </c>
      <c r="G92" s="26">
        <f aca="true" t="shared" si="3" ref="G92:G98">F92*1.2</f>
        <v>373.2</v>
      </c>
      <c r="H92" s="23" t="s">
        <v>696</v>
      </c>
    </row>
    <row r="93" spans="1:8" ht="47.25">
      <c r="A93" s="546"/>
      <c r="B93" s="530"/>
      <c r="C93" s="19" t="s">
        <v>284</v>
      </c>
      <c r="D93" s="23" t="s">
        <v>79</v>
      </c>
      <c r="E93" s="24" t="s">
        <v>212</v>
      </c>
      <c r="F93" s="26">
        <v>295</v>
      </c>
      <c r="G93" s="26">
        <f t="shared" si="3"/>
        <v>354</v>
      </c>
      <c r="H93" s="23" t="s">
        <v>286</v>
      </c>
    </row>
    <row r="94" spans="1:8" ht="15.75">
      <c r="A94" s="546"/>
      <c r="B94" s="530"/>
      <c r="C94" s="557" t="s">
        <v>287</v>
      </c>
      <c r="D94" s="543"/>
      <c r="E94" s="26" t="s">
        <v>288</v>
      </c>
      <c r="F94" s="26">
        <v>1537</v>
      </c>
      <c r="G94" s="24">
        <f>F94*1.2</f>
        <v>1844.3999999999999</v>
      </c>
      <c r="H94" s="543" t="s">
        <v>289</v>
      </c>
    </row>
    <row r="95" spans="1:8" ht="15.75">
      <c r="A95" s="546"/>
      <c r="B95" s="530"/>
      <c r="C95" s="558"/>
      <c r="D95" s="544"/>
      <c r="E95" s="24" t="s">
        <v>22</v>
      </c>
      <c r="F95" s="26">
        <v>2648</v>
      </c>
      <c r="G95" s="84">
        <f t="shared" si="3"/>
        <v>3177.6</v>
      </c>
      <c r="H95" s="544"/>
    </row>
    <row r="96" spans="1:8" ht="157.5">
      <c r="A96" s="546"/>
      <c r="B96" s="530"/>
      <c r="C96" s="19" t="s">
        <v>284</v>
      </c>
      <c r="D96" s="543" t="s">
        <v>79</v>
      </c>
      <c r="E96" s="540" t="s">
        <v>38</v>
      </c>
      <c r="F96" s="26">
        <v>462</v>
      </c>
      <c r="G96" s="26">
        <f>F96*1.2</f>
        <v>554.4</v>
      </c>
      <c r="H96" s="23" t="s">
        <v>290</v>
      </c>
    </row>
    <row r="97" spans="1:8" ht="47.25">
      <c r="A97" s="546"/>
      <c r="B97" s="530"/>
      <c r="C97" s="19" t="s">
        <v>284</v>
      </c>
      <c r="D97" s="605"/>
      <c r="E97" s="541"/>
      <c r="F97" s="26">
        <v>351</v>
      </c>
      <c r="G97" s="26">
        <f t="shared" si="3"/>
        <v>421.2</v>
      </c>
      <c r="H97" s="23" t="s">
        <v>291</v>
      </c>
    </row>
    <row r="98" spans="1:8" ht="141.75">
      <c r="A98" s="546"/>
      <c r="B98" s="530"/>
      <c r="C98" s="19" t="s">
        <v>287</v>
      </c>
      <c r="D98" s="605"/>
      <c r="E98" s="541"/>
      <c r="F98" s="183">
        <v>4519</v>
      </c>
      <c r="G98" s="84">
        <f t="shared" si="3"/>
        <v>5422.8</v>
      </c>
      <c r="H98" s="23" t="s">
        <v>292</v>
      </c>
    </row>
    <row r="99" spans="1:8" ht="47.25">
      <c r="A99" s="35"/>
      <c r="B99" s="539"/>
      <c r="C99" s="19" t="s">
        <v>293</v>
      </c>
      <c r="D99" s="23" t="s">
        <v>79</v>
      </c>
      <c r="E99" s="26" t="s">
        <v>221</v>
      </c>
      <c r="F99" s="555" t="s">
        <v>76</v>
      </c>
      <c r="G99" s="556"/>
      <c r="H99" s="23" t="s">
        <v>294</v>
      </c>
    </row>
    <row r="100" spans="1:8" ht="31.5">
      <c r="A100" s="850">
        <v>12</v>
      </c>
      <c r="B100" s="529" t="s">
        <v>103</v>
      </c>
      <c r="C100" s="543" t="s">
        <v>105</v>
      </c>
      <c r="D100" s="19" t="s">
        <v>220</v>
      </c>
      <c r="E100" s="172"/>
      <c r="F100" s="26">
        <v>535</v>
      </c>
      <c r="G100" s="26">
        <f aca="true" t="shared" si="4" ref="G100:G105">F100*1.2</f>
        <v>642</v>
      </c>
      <c r="H100" s="19" t="s">
        <v>295</v>
      </c>
    </row>
    <row r="101" spans="1:8" ht="31.5">
      <c r="A101" s="850"/>
      <c r="B101" s="539"/>
      <c r="C101" s="544"/>
      <c r="D101" s="19" t="s">
        <v>220</v>
      </c>
      <c r="E101" s="172"/>
      <c r="F101" s="26">
        <v>406</v>
      </c>
      <c r="G101" s="26">
        <f t="shared" si="4"/>
        <v>487.2</v>
      </c>
      <c r="H101" s="19" t="s">
        <v>296</v>
      </c>
    </row>
    <row r="102" spans="1:8" ht="31.5">
      <c r="A102" s="607">
        <v>13</v>
      </c>
      <c r="B102" s="529" t="s">
        <v>110</v>
      </c>
      <c r="C102" s="543" t="s">
        <v>111</v>
      </c>
      <c r="D102" s="19" t="s">
        <v>220</v>
      </c>
      <c r="E102" s="20"/>
      <c r="F102" s="183">
        <v>3395</v>
      </c>
      <c r="G102" s="33">
        <f t="shared" si="4"/>
        <v>4074</v>
      </c>
      <c r="H102" s="36" t="s">
        <v>297</v>
      </c>
    </row>
    <row r="103" spans="1:8" ht="15.75">
      <c r="A103" s="607"/>
      <c r="B103" s="530"/>
      <c r="C103" s="605"/>
      <c r="D103" s="18" t="s">
        <v>21</v>
      </c>
      <c r="E103" s="20" t="s">
        <v>212</v>
      </c>
      <c r="F103" s="183">
        <v>2472</v>
      </c>
      <c r="G103" s="33">
        <f t="shared" si="4"/>
        <v>2966.4</v>
      </c>
      <c r="H103" s="543" t="s">
        <v>683</v>
      </c>
    </row>
    <row r="104" spans="1:8" ht="15.75">
      <c r="A104" s="608"/>
      <c r="B104" s="539"/>
      <c r="C104" s="605"/>
      <c r="D104" s="18" t="s">
        <v>21</v>
      </c>
      <c r="E104" s="20" t="s">
        <v>273</v>
      </c>
      <c r="F104" s="183">
        <v>2472</v>
      </c>
      <c r="G104" s="33">
        <f t="shared" si="4"/>
        <v>2966.4</v>
      </c>
      <c r="H104" s="544"/>
    </row>
    <row r="105" spans="1:8" ht="15.75">
      <c r="A105" s="606">
        <v>14</v>
      </c>
      <c r="B105" s="529" t="s">
        <v>117</v>
      </c>
      <c r="C105" s="557" t="s">
        <v>298</v>
      </c>
      <c r="D105" s="557" t="s">
        <v>119</v>
      </c>
      <c r="E105" s="540"/>
      <c r="F105" s="851">
        <v>115</v>
      </c>
      <c r="G105" s="851">
        <f t="shared" si="4"/>
        <v>138</v>
      </c>
      <c r="H105" s="543"/>
    </row>
    <row r="106" spans="1:8" ht="15.75">
      <c r="A106" s="608"/>
      <c r="B106" s="539"/>
      <c r="C106" s="558"/>
      <c r="D106" s="558"/>
      <c r="E106" s="542"/>
      <c r="F106" s="852"/>
      <c r="G106" s="852"/>
      <c r="H106" s="544"/>
    </row>
    <row r="107" spans="1:8" ht="31.5">
      <c r="A107" s="177">
        <v>15</v>
      </c>
      <c r="B107" s="25" t="s">
        <v>299</v>
      </c>
      <c r="C107" s="18" t="s">
        <v>116</v>
      </c>
      <c r="D107" s="36" t="s">
        <v>21</v>
      </c>
      <c r="E107" s="26"/>
      <c r="F107" s="183">
        <v>1700</v>
      </c>
      <c r="G107" s="33">
        <f aca="true" t="shared" si="5" ref="G107:G113">F107*1.2</f>
        <v>2040</v>
      </c>
      <c r="H107" s="23" t="s">
        <v>300</v>
      </c>
    </row>
    <row r="108" spans="1:8" ht="15.75">
      <c r="A108" s="178">
        <v>16</v>
      </c>
      <c r="B108" s="16" t="s">
        <v>125</v>
      </c>
      <c r="C108" s="18" t="s">
        <v>301</v>
      </c>
      <c r="D108" s="557" t="s">
        <v>21</v>
      </c>
      <c r="E108" s="26" t="s">
        <v>288</v>
      </c>
      <c r="F108" s="183">
        <v>1232</v>
      </c>
      <c r="G108" s="33">
        <f t="shared" si="5"/>
        <v>1478.3999999999999</v>
      </c>
      <c r="H108" s="543" t="s">
        <v>127</v>
      </c>
    </row>
    <row r="109" spans="1:8" ht="15.75">
      <c r="A109" s="176"/>
      <c r="B109" s="17"/>
      <c r="C109" s="28"/>
      <c r="D109" s="853"/>
      <c r="E109" s="26" t="s">
        <v>22</v>
      </c>
      <c r="F109" s="183">
        <v>2316</v>
      </c>
      <c r="G109" s="33">
        <f t="shared" si="5"/>
        <v>2779.2</v>
      </c>
      <c r="H109" s="605"/>
    </row>
    <row r="110" spans="1:8" ht="15.75">
      <c r="A110" s="176"/>
      <c r="B110" s="17"/>
      <c r="C110" s="28"/>
      <c r="D110" s="558"/>
      <c r="E110" s="26" t="s">
        <v>38</v>
      </c>
      <c r="F110" s="183">
        <v>2907</v>
      </c>
      <c r="G110" s="33">
        <f t="shared" si="5"/>
        <v>3488.4</v>
      </c>
      <c r="H110" s="544"/>
    </row>
    <row r="111" spans="1:8" ht="31.5">
      <c r="A111" s="176"/>
      <c r="B111" s="17"/>
      <c r="C111" s="28"/>
      <c r="D111" s="36" t="s">
        <v>119</v>
      </c>
      <c r="E111" s="26"/>
      <c r="F111" s="33">
        <v>327</v>
      </c>
      <c r="G111" s="33">
        <f t="shared" si="5"/>
        <v>392.4</v>
      </c>
      <c r="H111" s="23" t="s">
        <v>302</v>
      </c>
    </row>
    <row r="112" spans="1:8" ht="15.75">
      <c r="A112" s="176"/>
      <c r="B112" s="17"/>
      <c r="C112" s="28"/>
      <c r="D112" s="557" t="s">
        <v>21</v>
      </c>
      <c r="E112" s="26" t="s">
        <v>303</v>
      </c>
      <c r="F112" s="183">
        <v>2760</v>
      </c>
      <c r="G112" s="33">
        <f t="shared" si="5"/>
        <v>3312</v>
      </c>
      <c r="H112" s="543" t="s">
        <v>304</v>
      </c>
    </row>
    <row r="113" spans="1:8" ht="15.75">
      <c r="A113" s="176"/>
      <c r="B113" s="17"/>
      <c r="C113" s="28"/>
      <c r="D113" s="558"/>
      <c r="E113" s="26" t="s">
        <v>305</v>
      </c>
      <c r="F113" s="183">
        <v>3753</v>
      </c>
      <c r="G113" s="33">
        <f t="shared" si="5"/>
        <v>4503.599999999999</v>
      </c>
      <c r="H113" s="544"/>
    </row>
    <row r="114" spans="1:8" ht="15.75">
      <c r="A114" s="176"/>
      <c r="B114" s="17"/>
      <c r="C114" s="28"/>
      <c r="D114" s="23" t="s">
        <v>119</v>
      </c>
      <c r="E114" s="26"/>
      <c r="F114" s="854" t="s">
        <v>131</v>
      </c>
      <c r="G114" s="855"/>
      <c r="H114" s="23" t="s">
        <v>306</v>
      </c>
    </row>
    <row r="115" spans="1:8" ht="78.75">
      <c r="A115" s="177"/>
      <c r="B115" s="25"/>
      <c r="C115" s="21"/>
      <c r="D115" s="23" t="s">
        <v>119</v>
      </c>
      <c r="E115" s="23"/>
      <c r="F115" s="854" t="s">
        <v>131</v>
      </c>
      <c r="G115" s="855"/>
      <c r="H115" s="23" t="s">
        <v>132</v>
      </c>
    </row>
    <row r="116" spans="1:8" ht="15.75">
      <c r="A116" s="791" t="s">
        <v>136</v>
      </c>
      <c r="B116" s="793"/>
      <c r="C116" s="551" t="s">
        <v>137</v>
      </c>
      <c r="D116" s="552"/>
      <c r="E116" s="552"/>
      <c r="F116" s="552"/>
      <c r="G116" s="552"/>
      <c r="H116" s="553"/>
    </row>
    <row r="117" spans="1:8" ht="15.75">
      <c r="A117" s="526" t="s">
        <v>307</v>
      </c>
      <c r="B117" s="526" t="s">
        <v>308</v>
      </c>
      <c r="C117" s="642" t="s">
        <v>309</v>
      </c>
      <c r="D117" s="543" t="s">
        <v>21</v>
      </c>
      <c r="E117" s="26" t="s">
        <v>22</v>
      </c>
      <c r="F117" s="559" t="s">
        <v>23</v>
      </c>
      <c r="G117" s="560"/>
      <c r="H117" s="606"/>
    </row>
    <row r="118" spans="1:8" ht="15.75">
      <c r="A118" s="526"/>
      <c r="B118" s="526"/>
      <c r="C118" s="642"/>
      <c r="D118" s="544"/>
      <c r="E118" s="26" t="s">
        <v>38</v>
      </c>
      <c r="F118" s="561"/>
      <c r="G118" s="562"/>
      <c r="H118" s="608"/>
    </row>
    <row r="119" spans="1:8" ht="15.75">
      <c r="A119" s="25" t="s">
        <v>310</v>
      </c>
      <c r="B119" s="16" t="s">
        <v>311</v>
      </c>
      <c r="C119" s="18" t="s">
        <v>312</v>
      </c>
      <c r="D119" s="18" t="s">
        <v>25</v>
      </c>
      <c r="E119" s="26"/>
      <c r="F119" s="555" t="s">
        <v>23</v>
      </c>
      <c r="G119" s="556"/>
      <c r="H119" s="21"/>
    </row>
    <row r="120" spans="1:8" ht="15.75">
      <c r="A120" s="529" t="s">
        <v>138</v>
      </c>
      <c r="B120" s="529" t="s">
        <v>223</v>
      </c>
      <c r="C120" s="543" t="s">
        <v>313</v>
      </c>
      <c r="D120" s="543" t="s">
        <v>21</v>
      </c>
      <c r="E120" s="26" t="s">
        <v>22</v>
      </c>
      <c r="F120" s="559" t="s">
        <v>23</v>
      </c>
      <c r="G120" s="560"/>
      <c r="H120" s="543" t="s">
        <v>314</v>
      </c>
    </row>
    <row r="121" spans="1:8" ht="15.75">
      <c r="A121" s="539"/>
      <c r="B121" s="539"/>
      <c r="C121" s="544"/>
      <c r="D121" s="544"/>
      <c r="E121" s="26" t="s">
        <v>38</v>
      </c>
      <c r="F121" s="561"/>
      <c r="G121" s="562"/>
      <c r="H121" s="544"/>
    </row>
    <row r="122" spans="1:8" ht="15.75">
      <c r="A122" s="606">
        <v>20</v>
      </c>
      <c r="B122" s="529" t="s">
        <v>143</v>
      </c>
      <c r="C122" s="543" t="s">
        <v>144</v>
      </c>
      <c r="D122" s="557" t="s">
        <v>21</v>
      </c>
      <c r="E122" s="24" t="s">
        <v>22</v>
      </c>
      <c r="F122" s="559" t="s">
        <v>23</v>
      </c>
      <c r="G122" s="560"/>
      <c r="H122" s="543"/>
    </row>
    <row r="123" spans="1:8" ht="15.75">
      <c r="A123" s="608"/>
      <c r="B123" s="539"/>
      <c r="C123" s="544"/>
      <c r="D123" s="558"/>
      <c r="E123" s="26" t="s">
        <v>38</v>
      </c>
      <c r="F123" s="561"/>
      <c r="G123" s="562"/>
      <c r="H123" s="544"/>
    </row>
    <row r="124" spans="1:8" ht="31.5">
      <c r="A124" s="169">
        <v>21</v>
      </c>
      <c r="B124" s="11" t="s">
        <v>145</v>
      </c>
      <c r="C124" s="23" t="s">
        <v>146</v>
      </c>
      <c r="D124" s="19" t="s">
        <v>25</v>
      </c>
      <c r="E124" s="26"/>
      <c r="F124" s="555" t="s">
        <v>23</v>
      </c>
      <c r="G124" s="556"/>
      <c r="H124" s="26"/>
    </row>
    <row r="125" spans="1:8" ht="31.5">
      <c r="A125" s="177">
        <v>22</v>
      </c>
      <c r="B125" s="25" t="s">
        <v>315</v>
      </c>
      <c r="C125" s="23" t="s">
        <v>316</v>
      </c>
      <c r="D125" s="19" t="s">
        <v>119</v>
      </c>
      <c r="E125" s="26"/>
      <c r="F125" s="33">
        <v>5526</v>
      </c>
      <c r="G125" s="33">
        <f>F125*1.2</f>
        <v>6631.2</v>
      </c>
      <c r="H125" s="23" t="s">
        <v>317</v>
      </c>
    </row>
    <row r="126" spans="1:8" ht="31.5">
      <c r="A126" s="179">
        <v>23</v>
      </c>
      <c r="B126" s="16" t="s">
        <v>228</v>
      </c>
      <c r="C126" s="21" t="s">
        <v>318</v>
      </c>
      <c r="D126" s="23" t="s">
        <v>106</v>
      </c>
      <c r="E126" s="23" t="s">
        <v>697</v>
      </c>
      <c r="F126" s="13">
        <v>212</v>
      </c>
      <c r="G126" s="13">
        <f>F126*1.2</f>
        <v>254.39999999999998</v>
      </c>
      <c r="H126" s="21" t="s">
        <v>152</v>
      </c>
    </row>
    <row r="127" spans="1:8" ht="31.5">
      <c r="A127" s="169">
        <v>24</v>
      </c>
      <c r="B127" s="11" t="s">
        <v>155</v>
      </c>
      <c r="C127" s="23" t="s">
        <v>319</v>
      </c>
      <c r="D127" s="19" t="s">
        <v>119</v>
      </c>
      <c r="E127" s="26"/>
      <c r="F127" s="33">
        <v>2181.91</v>
      </c>
      <c r="G127" s="38">
        <f>F127*1.2</f>
        <v>2618.292</v>
      </c>
      <c r="H127" s="23" t="s">
        <v>320</v>
      </c>
    </row>
    <row r="128" spans="1:8" ht="15.75">
      <c r="A128" s="551" t="s">
        <v>157</v>
      </c>
      <c r="B128" s="553"/>
      <c r="C128" s="551" t="s">
        <v>158</v>
      </c>
      <c r="D128" s="552"/>
      <c r="E128" s="552"/>
      <c r="F128" s="552"/>
      <c r="G128" s="552"/>
      <c r="H128" s="553"/>
    </row>
    <row r="129" spans="1:8" ht="15.75">
      <c r="A129" s="606">
        <v>25</v>
      </c>
      <c r="B129" s="529" t="s">
        <v>159</v>
      </c>
      <c r="C129" s="543" t="s">
        <v>160</v>
      </c>
      <c r="D129" s="531" t="s">
        <v>687</v>
      </c>
      <c r="E129" s="26" t="s">
        <v>22</v>
      </c>
      <c r="F129" s="33">
        <v>1491</v>
      </c>
      <c r="G129" s="33">
        <f>F129*1.2</f>
        <v>1789.2</v>
      </c>
      <c r="H129" s="531" t="s">
        <v>321</v>
      </c>
    </row>
    <row r="130" spans="1:8" ht="15.75">
      <c r="A130" s="608"/>
      <c r="B130" s="539"/>
      <c r="C130" s="544"/>
      <c r="D130" s="533"/>
      <c r="E130" s="26" t="s">
        <v>38</v>
      </c>
      <c r="F130" s="33">
        <v>1491</v>
      </c>
      <c r="G130" s="33">
        <f>F130*1.2</f>
        <v>1789.2</v>
      </c>
      <c r="H130" s="533"/>
    </row>
    <row r="131" spans="1:8" ht="94.5">
      <c r="A131" s="169">
        <v>26</v>
      </c>
      <c r="B131" s="11" t="s">
        <v>322</v>
      </c>
      <c r="C131" s="23" t="s">
        <v>164</v>
      </c>
      <c r="D131" s="12" t="s">
        <v>687</v>
      </c>
      <c r="E131" s="26"/>
      <c r="F131" s="86">
        <v>632</v>
      </c>
      <c r="G131" s="26">
        <f>F131*1.2</f>
        <v>758.4</v>
      </c>
      <c r="H131" s="12" t="s">
        <v>323</v>
      </c>
    </row>
    <row r="132" spans="1:8" ht="15.75">
      <c r="A132" s="90"/>
      <c r="B132" s="43"/>
      <c r="C132" s="42"/>
      <c r="D132" s="48"/>
      <c r="E132" s="45"/>
      <c r="F132" s="91"/>
      <c r="G132" s="91"/>
      <c r="H132" s="48"/>
    </row>
    <row r="133" spans="1:8" ht="15.75">
      <c r="A133" s="50" t="s">
        <v>166</v>
      </c>
      <c r="B133" s="43"/>
      <c r="C133" s="42"/>
      <c r="D133" s="48"/>
      <c r="E133" s="45"/>
      <c r="F133" s="91"/>
      <c r="G133" s="91"/>
      <c r="H133" s="48"/>
    </row>
    <row r="134" spans="2:8" ht="15.75">
      <c r="B134" s="1"/>
      <c r="C134" s="107"/>
      <c r="D134" s="103"/>
      <c r="E134" s="1"/>
      <c r="F134" s="1"/>
      <c r="G134" s="114"/>
      <c r="H134" s="115"/>
    </row>
    <row r="135" spans="1:8" ht="15.75">
      <c r="A135" s="50" t="s">
        <v>167</v>
      </c>
      <c r="B135" s="2"/>
      <c r="C135" s="50"/>
      <c r="D135" s="50"/>
      <c r="E135" s="106" t="s">
        <v>168</v>
      </c>
      <c r="F135" s="1"/>
      <c r="G135" s="116"/>
      <c r="H135" s="117"/>
    </row>
    <row r="136" spans="1:8" ht="15.75">
      <c r="A136" s="2"/>
      <c r="B136" s="1"/>
      <c r="C136" s="107"/>
      <c r="D136" s="103"/>
      <c r="E136" s="1"/>
      <c r="F136" s="1"/>
      <c r="G136" s="116"/>
      <c r="H136" s="117"/>
    </row>
    <row r="137" spans="1:8" ht="15.75">
      <c r="A137" s="50" t="s">
        <v>169</v>
      </c>
      <c r="B137" s="1"/>
      <c r="C137" s="107"/>
      <c r="D137" s="103"/>
      <c r="E137" s="106" t="s">
        <v>170</v>
      </c>
      <c r="F137" s="1"/>
      <c r="G137" s="114"/>
      <c r="H137" s="121"/>
    </row>
    <row r="138" spans="1:8" ht="15.75">
      <c r="A138" s="2"/>
      <c r="B138" s="1"/>
      <c r="C138" s="107"/>
      <c r="D138" s="103"/>
      <c r="E138" s="1"/>
      <c r="F138" s="1"/>
      <c r="G138" s="114"/>
      <c r="H138" s="121"/>
    </row>
    <row r="139" spans="1:8" ht="15.75">
      <c r="A139" s="50" t="s">
        <v>171</v>
      </c>
      <c r="B139" s="118"/>
      <c r="C139" s="107"/>
      <c r="D139" s="103"/>
      <c r="E139" s="106" t="s">
        <v>172</v>
      </c>
      <c r="F139" s="1"/>
      <c r="G139" s="92"/>
      <c r="H139" s="93"/>
    </row>
    <row r="140" spans="1:8" ht="15.75">
      <c r="A140" s="50"/>
      <c r="B140" s="118"/>
      <c r="C140" s="107"/>
      <c r="D140" s="103"/>
      <c r="E140" s="106"/>
      <c r="F140" s="1"/>
      <c r="G140" s="92"/>
      <c r="H140" s="93"/>
    </row>
    <row r="141" spans="1:8" ht="15.75">
      <c r="A141" s="856" t="s">
        <v>324</v>
      </c>
      <c r="B141" s="856"/>
      <c r="C141" s="856"/>
      <c r="D141" s="1"/>
      <c r="E141" s="121" t="s">
        <v>325</v>
      </c>
      <c r="F141" s="103"/>
      <c r="G141" s="114"/>
      <c r="H141" s="121"/>
    </row>
  </sheetData>
  <sheetProtection/>
  <mergeCells count="166">
    <mergeCell ref="A141:C141"/>
    <mergeCell ref="F124:G124"/>
    <mergeCell ref="A128:B128"/>
    <mergeCell ref="C128:H128"/>
    <mergeCell ref="A129:A130"/>
    <mergeCell ref="B129:B130"/>
    <mergeCell ref="C129:C130"/>
    <mergeCell ref="D129:D130"/>
    <mergeCell ref="H129:H130"/>
    <mergeCell ref="H120:H121"/>
    <mergeCell ref="A122:A123"/>
    <mergeCell ref="B122:B123"/>
    <mergeCell ref="C122:C123"/>
    <mergeCell ref="D122:D123"/>
    <mergeCell ref="F122:G123"/>
    <mergeCell ref="H122:H123"/>
    <mergeCell ref="F119:G119"/>
    <mergeCell ref="A120:A121"/>
    <mergeCell ref="B120:B121"/>
    <mergeCell ref="C120:C121"/>
    <mergeCell ref="D120:D121"/>
    <mergeCell ref="F120:G121"/>
    <mergeCell ref="F114:G114"/>
    <mergeCell ref="F115:G115"/>
    <mergeCell ref="A116:B116"/>
    <mergeCell ref="C116:H116"/>
    <mergeCell ref="A117:A118"/>
    <mergeCell ref="B117:B118"/>
    <mergeCell ref="C117:C118"/>
    <mergeCell ref="D117:D118"/>
    <mergeCell ref="F117:G118"/>
    <mergeCell ref="H117:H118"/>
    <mergeCell ref="G105:G106"/>
    <mergeCell ref="H105:H106"/>
    <mergeCell ref="D108:D110"/>
    <mergeCell ref="H108:H110"/>
    <mergeCell ref="D112:D113"/>
    <mergeCell ref="H112:H113"/>
    <mergeCell ref="A102:A104"/>
    <mergeCell ref="B102:B104"/>
    <mergeCell ref="C102:C104"/>
    <mergeCell ref="H103:H104"/>
    <mergeCell ref="A105:A106"/>
    <mergeCell ref="B105:B106"/>
    <mergeCell ref="C105:C106"/>
    <mergeCell ref="D105:D106"/>
    <mergeCell ref="E105:E106"/>
    <mergeCell ref="F105:F106"/>
    <mergeCell ref="H94:H95"/>
    <mergeCell ref="D96:D98"/>
    <mergeCell ref="E96:E98"/>
    <mergeCell ref="F99:G99"/>
    <mergeCell ref="A100:A101"/>
    <mergeCell ref="B100:B101"/>
    <mergeCell ref="C100:C101"/>
    <mergeCell ref="D89:D90"/>
    <mergeCell ref="E89:E90"/>
    <mergeCell ref="A91:A98"/>
    <mergeCell ref="C91:G91"/>
    <mergeCell ref="B92:B99"/>
    <mergeCell ref="C94:C95"/>
    <mergeCell ref="H81:H83"/>
    <mergeCell ref="F82:G82"/>
    <mergeCell ref="F83:G83"/>
    <mergeCell ref="A84:B84"/>
    <mergeCell ref="C84:H84"/>
    <mergeCell ref="A85:A90"/>
    <mergeCell ref="C85:G85"/>
    <mergeCell ref="B86:B90"/>
    <mergeCell ref="D86:D87"/>
    <mergeCell ref="E86:E87"/>
    <mergeCell ref="D79:D80"/>
    <mergeCell ref="A81:A83"/>
    <mergeCell ref="B81:B83"/>
    <mergeCell ref="C81:C83"/>
    <mergeCell ref="D81:D82"/>
    <mergeCell ref="F81:G81"/>
    <mergeCell ref="A71:A80"/>
    <mergeCell ref="B71:B80"/>
    <mergeCell ref="C71:C80"/>
    <mergeCell ref="F71:G71"/>
    <mergeCell ref="H71:H72"/>
    <mergeCell ref="F72:G72"/>
    <mergeCell ref="D73:D75"/>
    <mergeCell ref="E73:E75"/>
    <mergeCell ref="D76:D78"/>
    <mergeCell ref="E76:E78"/>
    <mergeCell ref="A68:A70"/>
    <mergeCell ref="B68:B70"/>
    <mergeCell ref="C68:C70"/>
    <mergeCell ref="D68:D69"/>
    <mergeCell ref="F68:G68"/>
    <mergeCell ref="H68:H70"/>
    <mergeCell ref="F69:G69"/>
    <mergeCell ref="F70:G70"/>
    <mergeCell ref="H63:H65"/>
    <mergeCell ref="F64:G64"/>
    <mergeCell ref="F65:G65"/>
    <mergeCell ref="A66:H66"/>
    <mergeCell ref="A67:B67"/>
    <mergeCell ref="C67:H67"/>
    <mergeCell ref="D61:D62"/>
    <mergeCell ref="A63:A65"/>
    <mergeCell ref="B63:B65"/>
    <mergeCell ref="C63:C65"/>
    <mergeCell ref="D63:D64"/>
    <mergeCell ref="F63:G63"/>
    <mergeCell ref="C50:C51"/>
    <mergeCell ref="C52:C53"/>
    <mergeCell ref="A54:A62"/>
    <mergeCell ref="C54:H54"/>
    <mergeCell ref="B55:B62"/>
    <mergeCell ref="C55:C57"/>
    <mergeCell ref="D55:D57"/>
    <mergeCell ref="C58:C60"/>
    <mergeCell ref="D58:D60"/>
    <mergeCell ref="C61:C62"/>
    <mergeCell ref="C38:C39"/>
    <mergeCell ref="C40:C41"/>
    <mergeCell ref="C42:C43"/>
    <mergeCell ref="C44:C45"/>
    <mergeCell ref="C46:C47"/>
    <mergeCell ref="C48:C49"/>
    <mergeCell ref="A25:A53"/>
    <mergeCell ref="B25:B53"/>
    <mergeCell ref="C25:H25"/>
    <mergeCell ref="C26:C27"/>
    <mergeCell ref="H26:H53"/>
    <mergeCell ref="C28:C29"/>
    <mergeCell ref="C30:C31"/>
    <mergeCell ref="C32:C33"/>
    <mergeCell ref="C34:C35"/>
    <mergeCell ref="C36:C37"/>
    <mergeCell ref="A22:A24"/>
    <mergeCell ref="B22:B24"/>
    <mergeCell ref="C22:C24"/>
    <mergeCell ref="D22:D23"/>
    <mergeCell ref="F22:G22"/>
    <mergeCell ref="H22:H24"/>
    <mergeCell ref="F23:G23"/>
    <mergeCell ref="F24:G24"/>
    <mergeCell ref="A19:A21"/>
    <mergeCell ref="B19:B21"/>
    <mergeCell ref="C19:C21"/>
    <mergeCell ref="D19:D20"/>
    <mergeCell ref="F19:G19"/>
    <mergeCell ref="H19:H21"/>
    <mergeCell ref="F20:G20"/>
    <mergeCell ref="F21:G21"/>
    <mergeCell ref="B16:B18"/>
    <mergeCell ref="C16:C18"/>
    <mergeCell ref="D16:D17"/>
    <mergeCell ref="F16:G16"/>
    <mergeCell ref="H16:H18"/>
    <mergeCell ref="F17:G17"/>
    <mergeCell ref="F18:G18"/>
    <mergeCell ref="A8:H8"/>
    <mergeCell ref="A9:H9"/>
    <mergeCell ref="A10:H10"/>
    <mergeCell ref="A11:H11"/>
    <mergeCell ref="A12:H12"/>
    <mergeCell ref="D94:D95"/>
    <mergeCell ref="A14:H14"/>
    <mergeCell ref="A15:B15"/>
    <mergeCell ref="C15:H15"/>
    <mergeCell ref="A16:A1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8"/>
  <sheetViews>
    <sheetView zoomScale="80" zoomScaleNormal="80" zoomScalePageLayoutView="0" workbookViewId="0" topLeftCell="A1">
      <selection activeCell="L16" sqref="L16"/>
    </sheetView>
  </sheetViews>
  <sheetFormatPr defaultColWidth="9.140625" defaultRowHeight="15"/>
  <cols>
    <col min="1" max="1" width="5.00390625" style="170" customWidth="1"/>
    <col min="2" max="2" width="9.140625" style="170" customWidth="1"/>
    <col min="3" max="3" width="59.7109375" style="170" customWidth="1"/>
    <col min="4" max="4" width="14.28125" style="170" customWidth="1"/>
    <col min="5" max="5" width="16.28125" style="170" customWidth="1"/>
    <col min="6" max="7" width="12.8515625" style="170" customWidth="1"/>
    <col min="8" max="8" width="73.8515625" style="231" customWidth="1"/>
    <col min="9" max="16384" width="9.140625" style="170" customWidth="1"/>
  </cols>
  <sheetData>
    <row r="1" spans="1:8" ht="15.75">
      <c r="A1" s="77"/>
      <c r="B1" s="77"/>
      <c r="C1" s="77"/>
      <c r="D1" s="77"/>
      <c r="E1" s="77"/>
      <c r="F1" s="77"/>
      <c r="G1" s="95"/>
      <c r="H1" s="79"/>
    </row>
    <row r="2" spans="1:8" ht="15.75">
      <c r="A2" s="77"/>
      <c r="B2" s="77"/>
      <c r="C2" s="77"/>
      <c r="D2" s="77"/>
      <c r="E2" s="77"/>
      <c r="F2" s="77"/>
      <c r="G2" s="184"/>
      <c r="H2" s="49" t="s">
        <v>0</v>
      </c>
    </row>
    <row r="3" spans="1:8" ht="15.75">
      <c r="A3" s="77"/>
      <c r="B3" s="77"/>
      <c r="C3" s="77"/>
      <c r="D3" s="77"/>
      <c r="E3" s="77"/>
      <c r="F3" s="77"/>
      <c r="G3" s="107"/>
      <c r="H3" s="106" t="s">
        <v>1</v>
      </c>
    </row>
    <row r="4" spans="1:8" ht="15.75">
      <c r="A4" s="77"/>
      <c r="B4" s="77"/>
      <c r="C4" s="77"/>
      <c r="D4" s="77"/>
      <c r="E4" s="77"/>
      <c r="F4" s="77"/>
      <c r="G4" s="185"/>
      <c r="H4" s="186" t="s">
        <v>2</v>
      </c>
    </row>
    <row r="5" spans="1:8" ht="15.75">
      <c r="A5" s="96"/>
      <c r="B5" s="97"/>
      <c r="C5" s="97"/>
      <c r="D5" s="98"/>
      <c r="E5" s="98"/>
      <c r="F5" s="98"/>
      <c r="G5" s="99"/>
      <c r="H5" s="106"/>
    </row>
    <row r="6" spans="1:8" ht="15.75">
      <c r="A6" s="96"/>
      <c r="B6" s="97"/>
      <c r="C6" s="97"/>
      <c r="D6" s="98"/>
      <c r="E6" s="98"/>
      <c r="F6" s="103"/>
      <c r="G6" s="187"/>
      <c r="H6" s="188" t="s">
        <v>3</v>
      </c>
    </row>
    <row r="7" spans="1:8" ht="15.75">
      <c r="A7" s="96"/>
      <c r="B7" s="97"/>
      <c r="C7" s="97"/>
      <c r="D7" s="98"/>
      <c r="E7" s="98"/>
      <c r="F7" s="104"/>
      <c r="G7" s="6"/>
      <c r="H7" s="7"/>
    </row>
    <row r="8" spans="1:8" ht="15.75">
      <c r="A8" s="523" t="s">
        <v>4</v>
      </c>
      <c r="B8" s="523"/>
      <c r="C8" s="523"/>
      <c r="D8" s="523"/>
      <c r="E8" s="523"/>
      <c r="F8" s="523"/>
      <c r="G8" s="523"/>
      <c r="H8" s="523"/>
    </row>
    <row r="9" spans="1:8" ht="15.75">
      <c r="A9" s="523" t="s">
        <v>175</v>
      </c>
      <c r="B9" s="523"/>
      <c r="C9" s="523"/>
      <c r="D9" s="523"/>
      <c r="E9" s="523"/>
      <c r="F9" s="523"/>
      <c r="G9" s="523"/>
      <c r="H9" s="523"/>
    </row>
    <row r="10" spans="1:8" ht="15.75">
      <c r="A10" s="523" t="s">
        <v>437</v>
      </c>
      <c r="B10" s="523"/>
      <c r="C10" s="523"/>
      <c r="D10" s="523"/>
      <c r="E10" s="523"/>
      <c r="F10" s="523"/>
      <c r="G10" s="523"/>
      <c r="H10" s="523"/>
    </row>
    <row r="11" spans="1:8" ht="15.75">
      <c r="A11" s="523" t="s">
        <v>710</v>
      </c>
      <c r="B11" s="523"/>
      <c r="C11" s="523"/>
      <c r="D11" s="523"/>
      <c r="E11" s="523"/>
      <c r="F11" s="523"/>
      <c r="G11" s="523"/>
      <c r="H11" s="523"/>
    </row>
    <row r="12" spans="1:8" ht="15.75">
      <c r="A12" s="100"/>
      <c r="B12" s="100"/>
      <c r="C12" s="100"/>
      <c r="D12" s="100"/>
      <c r="E12" s="100"/>
      <c r="F12" s="100"/>
      <c r="G12" s="100"/>
      <c r="H12" s="268"/>
    </row>
    <row r="13" spans="1:8" ht="63">
      <c r="A13" s="271" t="s">
        <v>8</v>
      </c>
      <c r="B13" s="271" t="s">
        <v>9</v>
      </c>
      <c r="C13" s="271" t="s">
        <v>10</v>
      </c>
      <c r="D13" s="271" t="s">
        <v>11</v>
      </c>
      <c r="E13" s="271" t="s">
        <v>12</v>
      </c>
      <c r="F13" s="271" t="s">
        <v>13</v>
      </c>
      <c r="G13" s="272" t="s">
        <v>14</v>
      </c>
      <c r="H13" s="271" t="s">
        <v>15</v>
      </c>
    </row>
    <row r="14" spans="1:8" ht="15.75">
      <c r="A14" s="879" t="s">
        <v>16</v>
      </c>
      <c r="B14" s="879"/>
      <c r="C14" s="879"/>
      <c r="D14" s="879"/>
      <c r="E14" s="879"/>
      <c r="F14" s="880"/>
      <c r="G14" s="880"/>
      <c r="H14" s="879"/>
    </row>
    <row r="15" spans="1:8" ht="15.75">
      <c r="A15" s="873" t="s">
        <v>17</v>
      </c>
      <c r="B15" s="873"/>
      <c r="C15" s="879" t="s">
        <v>18</v>
      </c>
      <c r="D15" s="879"/>
      <c r="E15" s="879"/>
      <c r="F15" s="880"/>
      <c r="G15" s="880"/>
      <c r="H15" s="879"/>
    </row>
    <row r="16" spans="1:8" ht="15.75">
      <c r="A16" s="596" t="s">
        <v>177</v>
      </c>
      <c r="B16" s="873" t="s">
        <v>19</v>
      </c>
      <c r="C16" s="881" t="s">
        <v>20</v>
      </c>
      <c r="D16" s="596" t="s">
        <v>21</v>
      </c>
      <c r="E16" s="273" t="s">
        <v>22</v>
      </c>
      <c r="F16" s="595" t="s">
        <v>76</v>
      </c>
      <c r="G16" s="882"/>
      <c r="H16" s="596" t="s">
        <v>178</v>
      </c>
    </row>
    <row r="17" spans="1:8" ht="15.75">
      <c r="A17" s="596"/>
      <c r="B17" s="873"/>
      <c r="C17" s="881"/>
      <c r="D17" s="596"/>
      <c r="E17" s="273" t="s">
        <v>30</v>
      </c>
      <c r="F17" s="595" t="s">
        <v>76</v>
      </c>
      <c r="G17" s="882"/>
      <c r="H17" s="596"/>
    </row>
    <row r="18" spans="1:8" ht="15.75">
      <c r="A18" s="596"/>
      <c r="B18" s="873"/>
      <c r="C18" s="881"/>
      <c r="D18" s="274" t="s">
        <v>25</v>
      </c>
      <c r="E18" s="275"/>
      <c r="F18" s="595" t="s">
        <v>76</v>
      </c>
      <c r="G18" s="882"/>
      <c r="H18" s="596"/>
    </row>
    <row r="19" spans="1:8" ht="15.75">
      <c r="A19" s="596" t="s">
        <v>179</v>
      </c>
      <c r="B19" s="873" t="s">
        <v>28</v>
      </c>
      <c r="C19" s="881" t="s">
        <v>438</v>
      </c>
      <c r="D19" s="596" t="s">
        <v>21</v>
      </c>
      <c r="E19" s="273" t="s">
        <v>22</v>
      </c>
      <c r="F19" s="595" t="s">
        <v>76</v>
      </c>
      <c r="G19" s="882"/>
      <c r="H19" s="596" t="s">
        <v>181</v>
      </c>
    </row>
    <row r="20" spans="1:8" ht="15.75">
      <c r="A20" s="596"/>
      <c r="B20" s="873"/>
      <c r="C20" s="881"/>
      <c r="D20" s="596"/>
      <c r="E20" s="273" t="s">
        <v>30</v>
      </c>
      <c r="F20" s="595" t="s">
        <v>76</v>
      </c>
      <c r="G20" s="882"/>
      <c r="H20" s="596"/>
    </row>
    <row r="21" spans="1:8" ht="15.75">
      <c r="A21" s="596"/>
      <c r="B21" s="873"/>
      <c r="C21" s="881"/>
      <c r="D21" s="274" t="s">
        <v>25</v>
      </c>
      <c r="E21" s="275"/>
      <c r="F21" s="595" t="s">
        <v>76</v>
      </c>
      <c r="G21" s="882"/>
      <c r="H21" s="596"/>
    </row>
    <row r="22" spans="1:8" ht="15.75">
      <c r="A22" s="596" t="s">
        <v>182</v>
      </c>
      <c r="B22" s="873" t="s">
        <v>31</v>
      </c>
      <c r="C22" s="881" t="s">
        <v>32</v>
      </c>
      <c r="D22" s="596" t="s">
        <v>21</v>
      </c>
      <c r="E22" s="273" t="s">
        <v>22</v>
      </c>
      <c r="F22" s="595" t="s">
        <v>76</v>
      </c>
      <c r="G22" s="882"/>
      <c r="H22" s="596" t="s">
        <v>181</v>
      </c>
    </row>
    <row r="23" spans="1:8" ht="15.75">
      <c r="A23" s="596"/>
      <c r="B23" s="873"/>
      <c r="C23" s="881"/>
      <c r="D23" s="596"/>
      <c r="E23" s="273" t="s">
        <v>30</v>
      </c>
      <c r="F23" s="595" t="s">
        <v>76</v>
      </c>
      <c r="G23" s="882"/>
      <c r="H23" s="596"/>
    </row>
    <row r="24" spans="1:8" ht="15.75">
      <c r="A24" s="596"/>
      <c r="B24" s="873"/>
      <c r="C24" s="881"/>
      <c r="D24" s="274" t="s">
        <v>25</v>
      </c>
      <c r="E24" s="275"/>
      <c r="F24" s="595" t="s">
        <v>76</v>
      </c>
      <c r="G24" s="882"/>
      <c r="H24" s="596"/>
    </row>
    <row r="25" spans="1:8" ht="15.75">
      <c r="A25" s="593" t="s">
        <v>183</v>
      </c>
      <c r="B25" s="871" t="s">
        <v>184</v>
      </c>
      <c r="C25" s="873" t="s">
        <v>34</v>
      </c>
      <c r="D25" s="873"/>
      <c r="E25" s="873"/>
      <c r="F25" s="883"/>
      <c r="G25" s="883"/>
      <c r="H25" s="873"/>
    </row>
    <row r="26" spans="1:8" ht="15.75">
      <c r="A26" s="888"/>
      <c r="B26" s="872"/>
      <c r="C26" s="884" t="s">
        <v>439</v>
      </c>
      <c r="D26" s="276" t="s">
        <v>21</v>
      </c>
      <c r="E26" s="276" t="s">
        <v>22</v>
      </c>
      <c r="F26" s="277">
        <v>2230</v>
      </c>
      <c r="G26" s="277">
        <f>F26*1.2</f>
        <v>2676</v>
      </c>
      <c r="H26" s="885"/>
    </row>
    <row r="27" spans="1:8" ht="15.75">
      <c r="A27" s="888"/>
      <c r="B27" s="872"/>
      <c r="C27" s="884"/>
      <c r="D27" s="276" t="s">
        <v>21</v>
      </c>
      <c r="E27" s="276" t="s">
        <v>38</v>
      </c>
      <c r="F27" s="277">
        <v>5244</v>
      </c>
      <c r="G27" s="277">
        <f>F27*1.2</f>
        <v>6292.8</v>
      </c>
      <c r="H27" s="886"/>
    </row>
    <row r="28" spans="1:8" ht="15.75">
      <c r="A28" s="888"/>
      <c r="B28" s="872"/>
      <c r="C28" s="593" t="s">
        <v>440</v>
      </c>
      <c r="D28" s="273" t="s">
        <v>21</v>
      </c>
      <c r="E28" s="273" t="s">
        <v>22</v>
      </c>
      <c r="F28" s="277">
        <v>4739</v>
      </c>
      <c r="G28" s="277">
        <f aca="true" t="shared" si="0" ref="G28:G48">F28*1.2</f>
        <v>5686.8</v>
      </c>
      <c r="H28" s="886"/>
    </row>
    <row r="29" spans="1:8" ht="15.75">
      <c r="A29" s="888"/>
      <c r="B29" s="872"/>
      <c r="C29" s="888"/>
      <c r="D29" s="273" t="s">
        <v>21</v>
      </c>
      <c r="E29" s="273" t="s">
        <v>38</v>
      </c>
      <c r="F29" s="277">
        <v>7207</v>
      </c>
      <c r="G29" s="277">
        <f t="shared" si="0"/>
        <v>8648.4</v>
      </c>
      <c r="H29" s="887"/>
    </row>
    <row r="30" spans="1:8" ht="15.75">
      <c r="A30" s="888"/>
      <c r="B30" s="872"/>
      <c r="C30" s="888"/>
      <c r="D30" s="273" t="s">
        <v>21</v>
      </c>
      <c r="E30" s="273" t="s">
        <v>22</v>
      </c>
      <c r="F30" s="277">
        <v>2415</v>
      </c>
      <c r="G30" s="277">
        <f t="shared" si="0"/>
        <v>2898</v>
      </c>
      <c r="H30" s="316"/>
    </row>
    <row r="31" spans="1:8" ht="15.75">
      <c r="A31" s="888"/>
      <c r="B31" s="872"/>
      <c r="C31" s="594"/>
      <c r="D31" s="273" t="s">
        <v>21</v>
      </c>
      <c r="E31" s="273" t="s">
        <v>38</v>
      </c>
      <c r="F31" s="277">
        <v>2613</v>
      </c>
      <c r="G31" s="277">
        <f t="shared" si="0"/>
        <v>3135.6</v>
      </c>
      <c r="H31" s="317" t="s">
        <v>441</v>
      </c>
    </row>
    <row r="32" spans="1:8" ht="15.75">
      <c r="A32" s="888"/>
      <c r="B32" s="872"/>
      <c r="C32" s="593" t="s">
        <v>333</v>
      </c>
      <c r="D32" s="273" t="s">
        <v>21</v>
      </c>
      <c r="E32" s="273" t="s">
        <v>22</v>
      </c>
      <c r="F32" s="277">
        <v>5998</v>
      </c>
      <c r="G32" s="277">
        <f t="shared" si="0"/>
        <v>7197.599999999999</v>
      </c>
      <c r="H32" s="885" t="s">
        <v>442</v>
      </c>
    </row>
    <row r="33" spans="1:8" ht="15.75">
      <c r="A33" s="888"/>
      <c r="B33" s="872"/>
      <c r="C33" s="594"/>
      <c r="D33" s="273" t="s">
        <v>21</v>
      </c>
      <c r="E33" s="273" t="s">
        <v>38</v>
      </c>
      <c r="F33" s="277">
        <v>8146</v>
      </c>
      <c r="G33" s="277">
        <f t="shared" si="0"/>
        <v>9775.199999999999</v>
      </c>
      <c r="H33" s="886"/>
    </row>
    <row r="34" spans="1:8" ht="15.75">
      <c r="A34" s="888"/>
      <c r="B34" s="872"/>
      <c r="C34" s="593" t="s">
        <v>407</v>
      </c>
      <c r="D34" s="273" t="s">
        <v>21</v>
      </c>
      <c r="E34" s="273" t="s">
        <v>22</v>
      </c>
      <c r="F34" s="277">
        <v>6592</v>
      </c>
      <c r="G34" s="277">
        <f t="shared" si="0"/>
        <v>7910.4</v>
      </c>
      <c r="H34" s="886"/>
    </row>
    <row r="35" spans="1:8" ht="15.75">
      <c r="A35" s="888"/>
      <c r="B35" s="872"/>
      <c r="C35" s="594"/>
      <c r="D35" s="273" t="s">
        <v>21</v>
      </c>
      <c r="E35" s="273" t="s">
        <v>38</v>
      </c>
      <c r="F35" s="277">
        <v>9418</v>
      </c>
      <c r="G35" s="277">
        <f t="shared" si="0"/>
        <v>11301.6</v>
      </c>
      <c r="H35" s="886"/>
    </row>
    <row r="36" spans="1:8" ht="15.75">
      <c r="A36" s="888"/>
      <c r="B36" s="872"/>
      <c r="C36" s="593" t="s">
        <v>252</v>
      </c>
      <c r="D36" s="273" t="s">
        <v>21</v>
      </c>
      <c r="E36" s="273" t="s">
        <v>22</v>
      </c>
      <c r="F36" s="277">
        <v>7134</v>
      </c>
      <c r="G36" s="277">
        <f t="shared" si="0"/>
        <v>8560.8</v>
      </c>
      <c r="H36" s="886"/>
    </row>
    <row r="37" spans="1:8" ht="15.75">
      <c r="A37" s="888"/>
      <c r="B37" s="872"/>
      <c r="C37" s="594"/>
      <c r="D37" s="273" t="s">
        <v>21</v>
      </c>
      <c r="E37" s="273" t="s">
        <v>38</v>
      </c>
      <c r="F37" s="277">
        <v>9987</v>
      </c>
      <c r="G37" s="277">
        <f t="shared" si="0"/>
        <v>11984.4</v>
      </c>
      <c r="H37" s="886"/>
    </row>
    <row r="38" spans="1:8" ht="15.75">
      <c r="A38" s="888"/>
      <c r="B38" s="872"/>
      <c r="C38" s="593" t="s">
        <v>408</v>
      </c>
      <c r="D38" s="273" t="s">
        <v>21</v>
      </c>
      <c r="E38" s="273" t="s">
        <v>22</v>
      </c>
      <c r="F38" s="277">
        <v>7702</v>
      </c>
      <c r="G38" s="277">
        <f t="shared" si="0"/>
        <v>9242.4</v>
      </c>
      <c r="H38" s="886"/>
    </row>
    <row r="39" spans="1:8" ht="15.75">
      <c r="A39" s="888"/>
      <c r="B39" s="872"/>
      <c r="C39" s="594"/>
      <c r="D39" s="273" t="s">
        <v>21</v>
      </c>
      <c r="E39" s="273" t="s">
        <v>38</v>
      </c>
      <c r="F39" s="277">
        <v>10419</v>
      </c>
      <c r="G39" s="277">
        <f t="shared" si="0"/>
        <v>12502.8</v>
      </c>
      <c r="H39" s="886"/>
    </row>
    <row r="40" spans="1:8" ht="15.75">
      <c r="A40" s="888"/>
      <c r="B40" s="872"/>
      <c r="C40" s="593" t="s">
        <v>409</v>
      </c>
      <c r="D40" s="273" t="s">
        <v>21</v>
      </c>
      <c r="E40" s="273" t="s">
        <v>22</v>
      </c>
      <c r="F40" s="277">
        <v>7949</v>
      </c>
      <c r="G40" s="277">
        <f t="shared" si="0"/>
        <v>9538.8</v>
      </c>
      <c r="H40" s="886"/>
    </row>
    <row r="41" spans="1:8" ht="15.75">
      <c r="A41" s="888"/>
      <c r="B41" s="872"/>
      <c r="C41" s="594"/>
      <c r="D41" s="273" t="s">
        <v>21</v>
      </c>
      <c r="E41" s="273" t="s">
        <v>38</v>
      </c>
      <c r="F41" s="277">
        <v>11158</v>
      </c>
      <c r="G41" s="277">
        <f t="shared" si="0"/>
        <v>13389.6</v>
      </c>
      <c r="H41" s="886"/>
    </row>
    <row r="42" spans="1:8" ht="15.75">
      <c r="A42" s="888"/>
      <c r="B42" s="872"/>
      <c r="C42" s="593" t="s">
        <v>337</v>
      </c>
      <c r="D42" s="273" t="s">
        <v>21</v>
      </c>
      <c r="E42" s="273" t="s">
        <v>22</v>
      </c>
      <c r="F42" s="277">
        <v>8002</v>
      </c>
      <c r="G42" s="277">
        <f t="shared" si="0"/>
        <v>9602.4</v>
      </c>
      <c r="H42" s="886"/>
    </row>
    <row r="43" spans="1:8" ht="15.75">
      <c r="A43" s="888"/>
      <c r="B43" s="872"/>
      <c r="C43" s="594"/>
      <c r="D43" s="273" t="s">
        <v>21</v>
      </c>
      <c r="E43" s="273" t="s">
        <v>38</v>
      </c>
      <c r="F43" s="277">
        <v>10678</v>
      </c>
      <c r="G43" s="277">
        <f t="shared" si="0"/>
        <v>12813.6</v>
      </c>
      <c r="H43" s="886"/>
    </row>
    <row r="44" spans="1:8" ht="15.75">
      <c r="A44" s="888"/>
      <c r="B44" s="872"/>
      <c r="C44" s="593" t="s">
        <v>410</v>
      </c>
      <c r="D44" s="273" t="s">
        <v>21</v>
      </c>
      <c r="E44" s="273" t="s">
        <v>22</v>
      </c>
      <c r="F44" s="277">
        <v>8986</v>
      </c>
      <c r="G44" s="277">
        <f t="shared" si="0"/>
        <v>10783.199999999999</v>
      </c>
      <c r="H44" s="886"/>
    </row>
    <row r="45" spans="1:8" ht="15.75">
      <c r="A45" s="888"/>
      <c r="B45" s="872"/>
      <c r="C45" s="594"/>
      <c r="D45" s="273" t="s">
        <v>21</v>
      </c>
      <c r="E45" s="273" t="s">
        <v>38</v>
      </c>
      <c r="F45" s="277">
        <v>11805</v>
      </c>
      <c r="G45" s="277">
        <f t="shared" si="0"/>
        <v>14166</v>
      </c>
      <c r="H45" s="886"/>
    </row>
    <row r="46" spans="1:8" ht="15.75">
      <c r="A46" s="888"/>
      <c r="B46" s="872"/>
      <c r="C46" s="593" t="s">
        <v>411</v>
      </c>
      <c r="D46" s="273" t="s">
        <v>21</v>
      </c>
      <c r="E46" s="273" t="s">
        <v>22</v>
      </c>
      <c r="F46" s="277">
        <v>9430</v>
      </c>
      <c r="G46" s="277">
        <f t="shared" si="0"/>
        <v>11316</v>
      </c>
      <c r="H46" s="886"/>
    </row>
    <row r="47" spans="1:8" ht="15.75">
      <c r="A47" s="888"/>
      <c r="B47" s="872"/>
      <c r="C47" s="594"/>
      <c r="D47" s="273" t="s">
        <v>21</v>
      </c>
      <c r="E47" s="273" t="s">
        <v>38</v>
      </c>
      <c r="F47" s="277">
        <v>12196</v>
      </c>
      <c r="G47" s="277">
        <f t="shared" si="0"/>
        <v>14635.199999999999</v>
      </c>
      <c r="H47" s="886"/>
    </row>
    <row r="48" spans="1:8" ht="15.75">
      <c r="A48" s="888"/>
      <c r="B48" s="872"/>
      <c r="C48" s="596" t="s">
        <v>443</v>
      </c>
      <c r="D48" s="273" t="s">
        <v>21</v>
      </c>
      <c r="E48" s="273" t="s">
        <v>22</v>
      </c>
      <c r="F48" s="277">
        <v>10145</v>
      </c>
      <c r="G48" s="277">
        <f t="shared" si="0"/>
        <v>12174</v>
      </c>
      <c r="H48" s="886"/>
    </row>
    <row r="49" spans="1:8" ht="15.75">
      <c r="A49" s="888"/>
      <c r="B49" s="872"/>
      <c r="C49" s="596"/>
      <c r="D49" s="273" t="s">
        <v>21</v>
      </c>
      <c r="E49" s="273" t="s">
        <v>38</v>
      </c>
      <c r="F49" s="277">
        <v>14436</v>
      </c>
      <c r="G49" s="277">
        <f>F49*1.2</f>
        <v>17323.2</v>
      </c>
      <c r="H49" s="886"/>
    </row>
    <row r="50" spans="1:8" ht="15.75">
      <c r="A50" s="888"/>
      <c r="B50" s="872"/>
      <c r="C50" s="596" t="s">
        <v>444</v>
      </c>
      <c r="D50" s="273" t="s">
        <v>21</v>
      </c>
      <c r="E50" s="273" t="s">
        <v>22</v>
      </c>
      <c r="F50" s="277">
        <v>11468</v>
      </c>
      <c r="G50" s="277">
        <f>F50*1.2</f>
        <v>13761.6</v>
      </c>
      <c r="H50" s="886"/>
    </row>
    <row r="51" spans="1:8" ht="15.75">
      <c r="A51" s="888"/>
      <c r="B51" s="872"/>
      <c r="C51" s="596"/>
      <c r="D51" s="273" t="s">
        <v>21</v>
      </c>
      <c r="E51" s="273" t="s">
        <v>38</v>
      </c>
      <c r="F51" s="277">
        <v>15958</v>
      </c>
      <c r="G51" s="277">
        <f aca="true" t="shared" si="1" ref="G51:G64">F51*1.2</f>
        <v>19149.6</v>
      </c>
      <c r="H51" s="886"/>
    </row>
    <row r="52" spans="1:8" ht="15.75">
      <c r="A52" s="888"/>
      <c r="B52" s="872"/>
      <c r="C52" s="596" t="s">
        <v>445</v>
      </c>
      <c r="D52" s="273" t="s">
        <v>21</v>
      </c>
      <c r="E52" s="273" t="s">
        <v>22</v>
      </c>
      <c r="F52" s="277">
        <v>12791</v>
      </c>
      <c r="G52" s="277">
        <f t="shared" si="1"/>
        <v>15349.199999999999</v>
      </c>
      <c r="H52" s="886"/>
    </row>
    <row r="53" spans="1:8" ht="15.75">
      <c r="A53" s="888"/>
      <c r="B53" s="872"/>
      <c r="C53" s="596"/>
      <c r="D53" s="273" t="s">
        <v>21</v>
      </c>
      <c r="E53" s="273" t="s">
        <v>38</v>
      </c>
      <c r="F53" s="277">
        <v>17486</v>
      </c>
      <c r="G53" s="277">
        <f t="shared" si="1"/>
        <v>20983.2</v>
      </c>
      <c r="H53" s="886"/>
    </row>
    <row r="54" spans="1:8" ht="15.75">
      <c r="A54" s="888"/>
      <c r="B54" s="872"/>
      <c r="C54" s="596" t="s">
        <v>446</v>
      </c>
      <c r="D54" s="273" t="s">
        <v>21</v>
      </c>
      <c r="E54" s="273" t="s">
        <v>22</v>
      </c>
      <c r="F54" s="277">
        <v>14115</v>
      </c>
      <c r="G54" s="277">
        <f t="shared" si="1"/>
        <v>16938</v>
      </c>
      <c r="H54" s="886"/>
    </row>
    <row r="55" spans="1:8" ht="15.75">
      <c r="A55" s="888"/>
      <c r="B55" s="872"/>
      <c r="C55" s="596"/>
      <c r="D55" s="273" t="s">
        <v>21</v>
      </c>
      <c r="E55" s="273" t="s">
        <v>38</v>
      </c>
      <c r="F55" s="277">
        <v>19012</v>
      </c>
      <c r="G55" s="277">
        <f t="shared" si="1"/>
        <v>22814.399999999998</v>
      </c>
      <c r="H55" s="886"/>
    </row>
    <row r="56" spans="1:8" ht="15.75">
      <c r="A56" s="888"/>
      <c r="B56" s="872"/>
      <c r="C56" s="596" t="s">
        <v>447</v>
      </c>
      <c r="D56" s="273" t="s">
        <v>21</v>
      </c>
      <c r="E56" s="273" t="s">
        <v>22</v>
      </c>
      <c r="F56" s="277">
        <v>15440</v>
      </c>
      <c r="G56" s="277">
        <f t="shared" si="1"/>
        <v>18528</v>
      </c>
      <c r="H56" s="886"/>
    </row>
    <row r="57" spans="1:8" ht="15.75">
      <c r="A57" s="888"/>
      <c r="B57" s="872"/>
      <c r="C57" s="596"/>
      <c r="D57" s="273" t="s">
        <v>21</v>
      </c>
      <c r="E57" s="273" t="s">
        <v>38</v>
      </c>
      <c r="F57" s="277">
        <v>20535</v>
      </c>
      <c r="G57" s="277">
        <f t="shared" si="1"/>
        <v>24642</v>
      </c>
      <c r="H57" s="886"/>
    </row>
    <row r="58" spans="1:8" ht="15.75">
      <c r="A58" s="888"/>
      <c r="B58" s="872"/>
      <c r="C58" s="596" t="s">
        <v>448</v>
      </c>
      <c r="D58" s="273" t="s">
        <v>21</v>
      </c>
      <c r="E58" s="273" t="s">
        <v>22</v>
      </c>
      <c r="F58" s="277">
        <v>16763</v>
      </c>
      <c r="G58" s="277">
        <f t="shared" si="1"/>
        <v>20115.6</v>
      </c>
      <c r="H58" s="886"/>
    </row>
    <row r="59" spans="1:8" ht="15.75">
      <c r="A59" s="888"/>
      <c r="B59" s="872"/>
      <c r="C59" s="596"/>
      <c r="D59" s="273" t="s">
        <v>21</v>
      </c>
      <c r="E59" s="273" t="s">
        <v>38</v>
      </c>
      <c r="F59" s="277">
        <v>22061</v>
      </c>
      <c r="G59" s="277">
        <f t="shared" si="1"/>
        <v>26473.2</v>
      </c>
      <c r="H59" s="886"/>
    </row>
    <row r="60" spans="1:8" ht="15.75">
      <c r="A60" s="888"/>
      <c r="B60" s="872"/>
      <c r="C60" s="596" t="s">
        <v>449</v>
      </c>
      <c r="D60" s="273" t="s">
        <v>21</v>
      </c>
      <c r="E60" s="273" t="s">
        <v>22</v>
      </c>
      <c r="F60" s="277">
        <v>18452</v>
      </c>
      <c r="G60" s="277">
        <f t="shared" si="1"/>
        <v>22142.399999999998</v>
      </c>
      <c r="H60" s="886"/>
    </row>
    <row r="61" spans="1:8" ht="15.75">
      <c r="A61" s="888"/>
      <c r="B61" s="872"/>
      <c r="C61" s="596"/>
      <c r="D61" s="273" t="s">
        <v>21</v>
      </c>
      <c r="E61" s="273" t="s">
        <v>38</v>
      </c>
      <c r="F61" s="277">
        <v>24039</v>
      </c>
      <c r="G61" s="277">
        <f t="shared" si="1"/>
        <v>28846.8</v>
      </c>
      <c r="H61" s="886"/>
    </row>
    <row r="62" spans="1:8" ht="15.75">
      <c r="A62" s="888"/>
      <c r="B62" s="872"/>
      <c r="C62" s="596" t="s">
        <v>450</v>
      </c>
      <c r="D62" s="273" t="s">
        <v>21</v>
      </c>
      <c r="E62" s="273" t="s">
        <v>22</v>
      </c>
      <c r="F62" s="277">
        <v>19777</v>
      </c>
      <c r="G62" s="277">
        <f t="shared" si="1"/>
        <v>23732.399999999998</v>
      </c>
      <c r="H62" s="886"/>
    </row>
    <row r="63" spans="1:8" ht="15.75">
      <c r="A63" s="888"/>
      <c r="B63" s="872"/>
      <c r="C63" s="596"/>
      <c r="D63" s="273" t="s">
        <v>21</v>
      </c>
      <c r="E63" s="273" t="s">
        <v>38</v>
      </c>
      <c r="F63" s="277">
        <v>25563</v>
      </c>
      <c r="G63" s="277">
        <f t="shared" si="1"/>
        <v>30675.6</v>
      </c>
      <c r="H63" s="886"/>
    </row>
    <row r="64" spans="1:8" ht="15.75">
      <c r="A64" s="888"/>
      <c r="B64" s="872"/>
      <c r="C64" s="596" t="s">
        <v>451</v>
      </c>
      <c r="D64" s="273" t="s">
        <v>21</v>
      </c>
      <c r="E64" s="273" t="s">
        <v>22</v>
      </c>
      <c r="F64" s="277">
        <v>21097</v>
      </c>
      <c r="G64" s="277">
        <f t="shared" si="1"/>
        <v>25316.399999999998</v>
      </c>
      <c r="H64" s="886"/>
    </row>
    <row r="65" spans="1:8" ht="15.75">
      <c r="A65" s="888"/>
      <c r="B65" s="872"/>
      <c r="C65" s="596"/>
      <c r="D65" s="273" t="s">
        <v>21</v>
      </c>
      <c r="E65" s="273" t="s">
        <v>38</v>
      </c>
      <c r="F65" s="277">
        <v>27088</v>
      </c>
      <c r="G65" s="277">
        <f>F65*1.2</f>
        <v>32505.6</v>
      </c>
      <c r="H65" s="886"/>
    </row>
    <row r="66" spans="1:8" ht="15.75">
      <c r="A66" s="888"/>
      <c r="B66" s="872"/>
      <c r="C66" s="596" t="s">
        <v>452</v>
      </c>
      <c r="D66" s="273" t="s">
        <v>21</v>
      </c>
      <c r="E66" s="273" t="s">
        <v>22</v>
      </c>
      <c r="F66" s="277">
        <v>22702</v>
      </c>
      <c r="G66" s="277">
        <f>F66*1.2</f>
        <v>27242.399999999998</v>
      </c>
      <c r="H66" s="886"/>
    </row>
    <row r="67" spans="1:8" ht="15.75">
      <c r="A67" s="888"/>
      <c r="B67" s="872"/>
      <c r="C67" s="596"/>
      <c r="D67" s="273" t="s">
        <v>21</v>
      </c>
      <c r="E67" s="273" t="s">
        <v>38</v>
      </c>
      <c r="F67" s="277">
        <v>28162</v>
      </c>
      <c r="G67" s="277">
        <f aca="true" t="shared" si="2" ref="G67:G80">F67*1.2</f>
        <v>33794.4</v>
      </c>
      <c r="H67" s="886"/>
    </row>
    <row r="68" spans="1:8" ht="15.75">
      <c r="A68" s="888"/>
      <c r="B68" s="872"/>
      <c r="C68" s="596" t="s">
        <v>453</v>
      </c>
      <c r="D68" s="273" t="s">
        <v>21</v>
      </c>
      <c r="E68" s="273" t="s">
        <v>22</v>
      </c>
      <c r="F68" s="277">
        <v>25434</v>
      </c>
      <c r="G68" s="277">
        <f t="shared" si="2"/>
        <v>30520.8</v>
      </c>
      <c r="H68" s="886"/>
    </row>
    <row r="69" spans="1:8" ht="15.75">
      <c r="A69" s="888"/>
      <c r="B69" s="872"/>
      <c r="C69" s="596"/>
      <c r="D69" s="273" t="s">
        <v>21</v>
      </c>
      <c r="E69" s="273" t="s">
        <v>38</v>
      </c>
      <c r="F69" s="277">
        <v>32118</v>
      </c>
      <c r="G69" s="277">
        <f t="shared" si="2"/>
        <v>38541.6</v>
      </c>
      <c r="H69" s="886"/>
    </row>
    <row r="70" spans="1:8" ht="15.75">
      <c r="A70" s="888"/>
      <c r="B70" s="872"/>
      <c r="C70" s="596" t="s">
        <v>454</v>
      </c>
      <c r="D70" s="273" t="s">
        <v>21</v>
      </c>
      <c r="E70" s="273" t="s">
        <v>22</v>
      </c>
      <c r="F70" s="277">
        <v>28745</v>
      </c>
      <c r="G70" s="277">
        <f t="shared" si="2"/>
        <v>34494</v>
      </c>
      <c r="H70" s="886"/>
    </row>
    <row r="71" spans="1:8" ht="15.75">
      <c r="A71" s="888"/>
      <c r="B71" s="872"/>
      <c r="C71" s="596"/>
      <c r="D71" s="273" t="s">
        <v>21</v>
      </c>
      <c r="E71" s="273" t="s">
        <v>38</v>
      </c>
      <c r="F71" s="277">
        <v>35928</v>
      </c>
      <c r="G71" s="277">
        <f t="shared" si="2"/>
        <v>43113.6</v>
      </c>
      <c r="H71" s="886"/>
    </row>
    <row r="72" spans="1:8" ht="15.75">
      <c r="A72" s="888"/>
      <c r="B72" s="872"/>
      <c r="C72" s="596" t="s">
        <v>455</v>
      </c>
      <c r="D72" s="273" t="s">
        <v>21</v>
      </c>
      <c r="E72" s="273" t="s">
        <v>22</v>
      </c>
      <c r="F72" s="277">
        <v>32053</v>
      </c>
      <c r="G72" s="277">
        <f t="shared" si="2"/>
        <v>38463.6</v>
      </c>
      <c r="H72" s="886"/>
    </row>
    <row r="73" spans="1:8" ht="15.75">
      <c r="A73" s="888"/>
      <c r="B73" s="872"/>
      <c r="C73" s="596"/>
      <c r="D73" s="273" t="s">
        <v>21</v>
      </c>
      <c r="E73" s="273" t="s">
        <v>38</v>
      </c>
      <c r="F73" s="277">
        <v>39740</v>
      </c>
      <c r="G73" s="277">
        <f t="shared" si="2"/>
        <v>47688</v>
      </c>
      <c r="H73" s="886"/>
    </row>
    <row r="74" spans="1:8" ht="15.75">
      <c r="A74" s="888"/>
      <c r="B74" s="872"/>
      <c r="C74" s="596" t="s">
        <v>456</v>
      </c>
      <c r="D74" s="273" t="s">
        <v>21</v>
      </c>
      <c r="E74" s="273" t="s">
        <v>22</v>
      </c>
      <c r="F74" s="277">
        <v>35360</v>
      </c>
      <c r="G74" s="277">
        <f t="shared" si="2"/>
        <v>42432</v>
      </c>
      <c r="H74" s="886"/>
    </row>
    <row r="75" spans="1:8" ht="15.75">
      <c r="A75" s="888"/>
      <c r="B75" s="872"/>
      <c r="C75" s="596"/>
      <c r="D75" s="273" t="s">
        <v>21</v>
      </c>
      <c r="E75" s="273" t="s">
        <v>38</v>
      </c>
      <c r="F75" s="277">
        <v>43553</v>
      </c>
      <c r="G75" s="277">
        <f t="shared" si="2"/>
        <v>52263.6</v>
      </c>
      <c r="H75" s="886"/>
    </row>
    <row r="76" spans="1:8" ht="15.75">
      <c r="A76" s="888"/>
      <c r="B76" s="872"/>
      <c r="C76" s="596" t="s">
        <v>457</v>
      </c>
      <c r="D76" s="273" t="s">
        <v>21</v>
      </c>
      <c r="E76" s="273" t="s">
        <v>22</v>
      </c>
      <c r="F76" s="277">
        <v>37351</v>
      </c>
      <c r="G76" s="277">
        <f t="shared" si="2"/>
        <v>44821.2</v>
      </c>
      <c r="H76" s="886"/>
    </row>
    <row r="77" spans="1:8" ht="15.75">
      <c r="A77" s="888"/>
      <c r="B77" s="872"/>
      <c r="C77" s="596"/>
      <c r="D77" s="273" t="s">
        <v>21</v>
      </c>
      <c r="E77" s="273" t="s">
        <v>38</v>
      </c>
      <c r="F77" s="277">
        <v>45375</v>
      </c>
      <c r="G77" s="277">
        <f t="shared" si="2"/>
        <v>54450</v>
      </c>
      <c r="H77" s="886"/>
    </row>
    <row r="78" spans="1:8" ht="15.75">
      <c r="A78" s="888"/>
      <c r="B78" s="872"/>
      <c r="C78" s="596" t="s">
        <v>458</v>
      </c>
      <c r="D78" s="273" t="s">
        <v>21</v>
      </c>
      <c r="E78" s="273" t="s">
        <v>22</v>
      </c>
      <c r="F78" s="277">
        <v>41907</v>
      </c>
      <c r="G78" s="277">
        <f t="shared" si="2"/>
        <v>50288.4</v>
      </c>
      <c r="H78" s="886"/>
    </row>
    <row r="79" spans="1:8" ht="15.75">
      <c r="A79" s="888"/>
      <c r="B79" s="872"/>
      <c r="C79" s="596"/>
      <c r="D79" s="273" t="s">
        <v>21</v>
      </c>
      <c r="E79" s="273" t="s">
        <v>38</v>
      </c>
      <c r="F79" s="277">
        <v>51180</v>
      </c>
      <c r="G79" s="277">
        <f t="shared" si="2"/>
        <v>61416</v>
      </c>
      <c r="H79" s="886"/>
    </row>
    <row r="80" spans="1:8" ht="15.75">
      <c r="A80" s="888"/>
      <c r="B80" s="872"/>
      <c r="C80" s="596" t="s">
        <v>459</v>
      </c>
      <c r="D80" s="273" t="s">
        <v>21</v>
      </c>
      <c r="E80" s="273" t="s">
        <v>22</v>
      </c>
      <c r="F80" s="277">
        <v>45286</v>
      </c>
      <c r="G80" s="277">
        <f t="shared" si="2"/>
        <v>54343.2</v>
      </c>
      <c r="H80" s="886"/>
    </row>
    <row r="81" spans="1:8" ht="15.75">
      <c r="A81" s="888"/>
      <c r="B81" s="872"/>
      <c r="C81" s="596"/>
      <c r="D81" s="273" t="s">
        <v>21</v>
      </c>
      <c r="E81" s="273" t="s">
        <v>38</v>
      </c>
      <c r="F81" s="277">
        <v>54992</v>
      </c>
      <c r="G81" s="277">
        <f>F81*1.2</f>
        <v>65990.4</v>
      </c>
      <c r="H81" s="886"/>
    </row>
    <row r="82" spans="1:8" ht="15.75">
      <c r="A82" s="888"/>
      <c r="B82" s="872"/>
      <c r="C82" s="596" t="s">
        <v>460</v>
      </c>
      <c r="D82" s="273" t="s">
        <v>21</v>
      </c>
      <c r="E82" s="273" t="s">
        <v>22</v>
      </c>
      <c r="F82" s="277">
        <v>48594</v>
      </c>
      <c r="G82" s="277">
        <f>F82*1.2</f>
        <v>58312.799999999996</v>
      </c>
      <c r="H82" s="886"/>
    </row>
    <row r="83" spans="1:8" ht="15.75">
      <c r="A83" s="888"/>
      <c r="B83" s="872"/>
      <c r="C83" s="596"/>
      <c r="D83" s="273" t="s">
        <v>21</v>
      </c>
      <c r="E83" s="273" t="s">
        <v>38</v>
      </c>
      <c r="F83" s="277">
        <v>58804</v>
      </c>
      <c r="G83" s="277">
        <f aca="true" t="shared" si="3" ref="G83:G95">F83*1.2</f>
        <v>70564.8</v>
      </c>
      <c r="H83" s="886"/>
    </row>
    <row r="84" spans="1:8" ht="15.75">
      <c r="A84" s="888"/>
      <c r="B84" s="872"/>
      <c r="C84" s="596" t="s">
        <v>461</v>
      </c>
      <c r="D84" s="273" t="s">
        <v>21</v>
      </c>
      <c r="E84" s="273" t="s">
        <v>22</v>
      </c>
      <c r="F84" s="277">
        <v>52494</v>
      </c>
      <c r="G84" s="277">
        <f t="shared" si="3"/>
        <v>62992.799999999996</v>
      </c>
      <c r="H84" s="886"/>
    </row>
    <row r="85" spans="1:8" ht="15.75">
      <c r="A85" s="888"/>
      <c r="B85" s="872"/>
      <c r="C85" s="596"/>
      <c r="D85" s="273" t="s">
        <v>21</v>
      </c>
      <c r="E85" s="273" t="s">
        <v>38</v>
      </c>
      <c r="F85" s="277">
        <v>63236</v>
      </c>
      <c r="G85" s="277">
        <f t="shared" si="3"/>
        <v>75883.2</v>
      </c>
      <c r="H85" s="886"/>
    </row>
    <row r="86" spans="1:8" ht="15.75">
      <c r="A86" s="888"/>
      <c r="B86" s="872"/>
      <c r="C86" s="596" t="s">
        <v>462</v>
      </c>
      <c r="D86" s="273" t="s">
        <v>21</v>
      </c>
      <c r="E86" s="273" t="s">
        <v>22</v>
      </c>
      <c r="F86" s="277">
        <v>60432</v>
      </c>
      <c r="G86" s="277">
        <f t="shared" si="3"/>
        <v>72518.4</v>
      </c>
      <c r="H86" s="886"/>
    </row>
    <row r="87" spans="1:8" ht="15.75">
      <c r="A87" s="888"/>
      <c r="B87" s="872"/>
      <c r="C87" s="596"/>
      <c r="D87" s="273" t="s">
        <v>21</v>
      </c>
      <c r="E87" s="273" t="s">
        <v>38</v>
      </c>
      <c r="F87" s="277">
        <v>71914</v>
      </c>
      <c r="G87" s="277">
        <f t="shared" si="3"/>
        <v>86296.8</v>
      </c>
      <c r="H87" s="886"/>
    </row>
    <row r="88" spans="1:8" ht="15.75">
      <c r="A88" s="888"/>
      <c r="B88" s="872"/>
      <c r="C88" s="596" t="s">
        <v>463</v>
      </c>
      <c r="D88" s="273" t="s">
        <v>21</v>
      </c>
      <c r="E88" s="273" t="s">
        <v>22</v>
      </c>
      <c r="F88" s="277">
        <v>65725</v>
      </c>
      <c r="G88" s="277">
        <f t="shared" si="3"/>
        <v>78870</v>
      </c>
      <c r="H88" s="886"/>
    </row>
    <row r="89" spans="1:8" ht="15.75">
      <c r="A89" s="888"/>
      <c r="B89" s="872"/>
      <c r="C89" s="596"/>
      <c r="D89" s="273" t="s">
        <v>21</v>
      </c>
      <c r="E89" s="273" t="s">
        <v>38</v>
      </c>
      <c r="F89" s="277">
        <v>78487</v>
      </c>
      <c r="G89" s="277">
        <f t="shared" si="3"/>
        <v>94184.4</v>
      </c>
      <c r="H89" s="886"/>
    </row>
    <row r="90" spans="1:8" ht="15.75">
      <c r="A90" s="888"/>
      <c r="B90" s="872"/>
      <c r="C90" s="596" t="s">
        <v>464</v>
      </c>
      <c r="D90" s="273" t="s">
        <v>21</v>
      </c>
      <c r="E90" s="273" t="s">
        <v>22</v>
      </c>
      <c r="F90" s="277">
        <v>73203</v>
      </c>
      <c r="G90" s="277">
        <f t="shared" si="3"/>
        <v>87843.59999999999</v>
      </c>
      <c r="H90" s="886"/>
    </row>
    <row r="91" spans="1:8" ht="15.75">
      <c r="A91" s="888"/>
      <c r="B91" s="872"/>
      <c r="C91" s="596"/>
      <c r="D91" s="273" t="s">
        <v>21</v>
      </c>
      <c r="E91" s="273" t="s">
        <v>38</v>
      </c>
      <c r="F91" s="277">
        <v>86710</v>
      </c>
      <c r="G91" s="277">
        <f t="shared" si="3"/>
        <v>104052</v>
      </c>
      <c r="H91" s="886"/>
    </row>
    <row r="92" spans="1:8" ht="15.75">
      <c r="A92" s="888"/>
      <c r="B92" s="872"/>
      <c r="C92" s="596" t="s">
        <v>465</v>
      </c>
      <c r="D92" s="273" t="s">
        <v>21</v>
      </c>
      <c r="E92" s="273" t="s">
        <v>22</v>
      </c>
      <c r="F92" s="277">
        <v>81086</v>
      </c>
      <c r="G92" s="277">
        <f t="shared" si="3"/>
        <v>97303.2</v>
      </c>
      <c r="H92" s="886"/>
    </row>
    <row r="93" spans="1:8" ht="15.75">
      <c r="A93" s="888"/>
      <c r="B93" s="872"/>
      <c r="C93" s="596"/>
      <c r="D93" s="273" t="s">
        <v>21</v>
      </c>
      <c r="E93" s="273" t="s">
        <v>38</v>
      </c>
      <c r="F93" s="277">
        <v>93960</v>
      </c>
      <c r="G93" s="277">
        <f t="shared" si="3"/>
        <v>112752</v>
      </c>
      <c r="H93" s="886"/>
    </row>
    <row r="94" spans="1:8" ht="15.75">
      <c r="A94" s="888"/>
      <c r="B94" s="872"/>
      <c r="C94" s="596" t="s">
        <v>466</v>
      </c>
      <c r="D94" s="273" t="s">
        <v>21</v>
      </c>
      <c r="E94" s="273" t="s">
        <v>22</v>
      </c>
      <c r="F94" s="277">
        <v>90921</v>
      </c>
      <c r="G94" s="277">
        <f t="shared" si="3"/>
        <v>109105.2</v>
      </c>
      <c r="H94" s="886"/>
    </row>
    <row r="95" spans="1:8" ht="15.75">
      <c r="A95" s="888"/>
      <c r="B95" s="872"/>
      <c r="C95" s="596"/>
      <c r="D95" s="273" t="s">
        <v>21</v>
      </c>
      <c r="E95" s="273" t="s">
        <v>38</v>
      </c>
      <c r="F95" s="277">
        <v>103707</v>
      </c>
      <c r="G95" s="277">
        <f t="shared" si="3"/>
        <v>124448.4</v>
      </c>
      <c r="H95" s="887"/>
    </row>
    <row r="96" spans="1:8" ht="15.75">
      <c r="A96" s="596" t="s">
        <v>263</v>
      </c>
      <c r="B96" s="873" t="s">
        <v>57</v>
      </c>
      <c r="C96" s="596" t="s">
        <v>58</v>
      </c>
      <c r="D96" s="596" t="s">
        <v>21</v>
      </c>
      <c r="E96" s="273" t="s">
        <v>22</v>
      </c>
      <c r="F96" s="595" t="s">
        <v>76</v>
      </c>
      <c r="G96" s="882"/>
      <c r="H96" s="596"/>
    </row>
    <row r="97" spans="1:8" ht="15.75">
      <c r="A97" s="596"/>
      <c r="B97" s="873"/>
      <c r="C97" s="596"/>
      <c r="D97" s="596"/>
      <c r="E97" s="273" t="s">
        <v>30</v>
      </c>
      <c r="F97" s="595" t="s">
        <v>76</v>
      </c>
      <c r="G97" s="882"/>
      <c r="H97" s="596"/>
    </row>
    <row r="98" spans="1:8" ht="15.75">
      <c r="A98" s="596"/>
      <c r="B98" s="873"/>
      <c r="C98" s="596"/>
      <c r="D98" s="273" t="s">
        <v>25</v>
      </c>
      <c r="E98" s="273" t="s">
        <v>25</v>
      </c>
      <c r="F98" s="595" t="s">
        <v>76</v>
      </c>
      <c r="G98" s="882"/>
      <c r="H98" s="596"/>
    </row>
    <row r="99" spans="1:8" ht="15.75">
      <c r="A99" s="593" t="s">
        <v>267</v>
      </c>
      <c r="B99" s="871" t="s">
        <v>349</v>
      </c>
      <c r="C99" s="595" t="s">
        <v>467</v>
      </c>
      <c r="D99" s="890"/>
      <c r="E99" s="890"/>
      <c r="F99" s="890"/>
      <c r="G99" s="890"/>
      <c r="H99" s="891"/>
    </row>
    <row r="100" spans="1:8" ht="15.75">
      <c r="A100" s="888"/>
      <c r="B100" s="872"/>
      <c r="C100" s="593" t="s">
        <v>468</v>
      </c>
      <c r="D100" s="593" t="s">
        <v>21</v>
      </c>
      <c r="E100" s="273" t="s">
        <v>22</v>
      </c>
      <c r="F100" s="269">
        <f>F131*2+F128*2</f>
        <v>4964</v>
      </c>
      <c r="G100" s="278">
        <f>F100*1.2</f>
        <v>5956.8</v>
      </c>
      <c r="H100" s="94" t="s">
        <v>264</v>
      </c>
    </row>
    <row r="101" spans="1:8" ht="15.75">
      <c r="A101" s="888"/>
      <c r="B101" s="872"/>
      <c r="C101" s="888"/>
      <c r="D101" s="888"/>
      <c r="E101" s="273" t="s">
        <v>22</v>
      </c>
      <c r="F101" s="269">
        <f>F131*2+F130*2</f>
        <v>5910</v>
      </c>
      <c r="G101" s="278">
        <f aca="true" t="shared" si="4" ref="G101:G107">F101*1.2</f>
        <v>7092</v>
      </c>
      <c r="H101" s="94" t="s">
        <v>265</v>
      </c>
    </row>
    <row r="102" spans="1:8" ht="15.75">
      <c r="A102" s="888"/>
      <c r="B102" s="872"/>
      <c r="C102" s="594"/>
      <c r="D102" s="888"/>
      <c r="E102" s="273" t="s">
        <v>30</v>
      </c>
      <c r="F102" s="269">
        <f>F134*2+F133*2</f>
        <v>6618</v>
      </c>
      <c r="G102" s="278">
        <f t="shared" si="4"/>
        <v>7941.599999999999</v>
      </c>
      <c r="H102" s="94"/>
    </row>
    <row r="103" spans="1:8" ht="15.75">
      <c r="A103" s="888"/>
      <c r="B103" s="872"/>
      <c r="C103" s="593" t="s">
        <v>469</v>
      </c>
      <c r="D103" s="888"/>
      <c r="E103" s="273" t="s">
        <v>22</v>
      </c>
      <c r="F103" s="269">
        <f>F128*2</f>
        <v>2836</v>
      </c>
      <c r="G103" s="278">
        <f t="shared" si="4"/>
        <v>3403.2</v>
      </c>
      <c r="H103" s="94" t="s">
        <v>264</v>
      </c>
    </row>
    <row r="104" spans="1:8" ht="15.75">
      <c r="A104" s="888"/>
      <c r="B104" s="872"/>
      <c r="C104" s="888"/>
      <c r="D104" s="888"/>
      <c r="E104" s="273" t="s">
        <v>22</v>
      </c>
      <c r="F104" s="269">
        <f>F130*2</f>
        <v>3782</v>
      </c>
      <c r="G104" s="278">
        <f t="shared" si="4"/>
        <v>4538.4</v>
      </c>
      <c r="H104" s="94" t="s">
        <v>265</v>
      </c>
    </row>
    <row r="105" spans="1:8" ht="15.75">
      <c r="A105" s="888"/>
      <c r="B105" s="872"/>
      <c r="C105" s="594"/>
      <c r="D105" s="888"/>
      <c r="E105" s="273" t="s">
        <v>30</v>
      </c>
      <c r="F105" s="269">
        <f>F133*2</f>
        <v>3782</v>
      </c>
      <c r="G105" s="278">
        <f t="shared" si="4"/>
        <v>4538.4</v>
      </c>
      <c r="H105" s="94"/>
    </row>
    <row r="106" spans="1:8" ht="15.75">
      <c r="A106" s="888"/>
      <c r="B106" s="872"/>
      <c r="C106" s="593" t="s">
        <v>469</v>
      </c>
      <c r="D106" s="888"/>
      <c r="E106" s="273" t="s">
        <v>22</v>
      </c>
      <c r="F106" s="269">
        <f>F131*2</f>
        <v>2128</v>
      </c>
      <c r="G106" s="278">
        <f t="shared" si="4"/>
        <v>2553.6</v>
      </c>
      <c r="H106" s="94" t="s">
        <v>95</v>
      </c>
    </row>
    <row r="107" spans="1:8" ht="15.75">
      <c r="A107" s="594"/>
      <c r="B107" s="889"/>
      <c r="C107" s="594"/>
      <c r="D107" s="594"/>
      <c r="E107" s="273" t="s">
        <v>30</v>
      </c>
      <c r="F107" s="269">
        <f>F134*2</f>
        <v>2836</v>
      </c>
      <c r="G107" s="278">
        <f t="shared" si="4"/>
        <v>3403.2</v>
      </c>
      <c r="H107" s="94" t="s">
        <v>95</v>
      </c>
    </row>
    <row r="108" spans="1:8" ht="15.75">
      <c r="A108" s="873" t="s">
        <v>68</v>
      </c>
      <c r="B108" s="873"/>
      <c r="C108" s="873"/>
      <c r="D108" s="873"/>
      <c r="E108" s="873"/>
      <c r="F108" s="883"/>
      <c r="G108" s="883"/>
      <c r="H108" s="873"/>
    </row>
    <row r="109" spans="1:8" ht="15.75">
      <c r="A109" s="873" t="s">
        <v>69</v>
      </c>
      <c r="B109" s="873"/>
      <c r="C109" s="873" t="s">
        <v>70</v>
      </c>
      <c r="D109" s="873"/>
      <c r="E109" s="873"/>
      <c r="F109" s="883"/>
      <c r="G109" s="883"/>
      <c r="H109" s="873"/>
    </row>
    <row r="110" spans="1:8" ht="15.75">
      <c r="A110" s="596" t="s">
        <v>203</v>
      </c>
      <c r="B110" s="873" t="s">
        <v>204</v>
      </c>
      <c r="C110" s="596" t="s">
        <v>72</v>
      </c>
      <c r="D110" s="596" t="s">
        <v>21</v>
      </c>
      <c r="E110" s="279" t="s">
        <v>22</v>
      </c>
      <c r="F110" s="595" t="s">
        <v>76</v>
      </c>
      <c r="G110" s="882"/>
      <c r="H110" s="596"/>
    </row>
    <row r="111" spans="1:8" ht="15.75">
      <c r="A111" s="596"/>
      <c r="B111" s="873"/>
      <c r="C111" s="596"/>
      <c r="D111" s="596"/>
      <c r="E111" s="279" t="s">
        <v>470</v>
      </c>
      <c r="F111" s="595" t="s">
        <v>76</v>
      </c>
      <c r="G111" s="882"/>
      <c r="H111" s="596"/>
    </row>
    <row r="112" spans="1:8" ht="15.75">
      <c r="A112" s="596"/>
      <c r="B112" s="873"/>
      <c r="C112" s="596"/>
      <c r="D112" s="273" t="s">
        <v>25</v>
      </c>
      <c r="E112" s="275"/>
      <c r="F112" s="595" t="s">
        <v>76</v>
      </c>
      <c r="G112" s="882"/>
      <c r="H112" s="596"/>
    </row>
    <row r="113" spans="1:8" ht="27" customHeight="1">
      <c r="A113" s="593" t="s">
        <v>205</v>
      </c>
      <c r="B113" s="871" t="s">
        <v>471</v>
      </c>
      <c r="C113" s="593" t="s">
        <v>74</v>
      </c>
      <c r="D113" s="273" t="s">
        <v>75</v>
      </c>
      <c r="E113" s="279" t="s">
        <v>21</v>
      </c>
      <c r="F113" s="595" t="s">
        <v>76</v>
      </c>
      <c r="G113" s="882"/>
      <c r="H113" s="885" t="s">
        <v>77</v>
      </c>
    </row>
    <row r="114" spans="1:8" ht="27" customHeight="1">
      <c r="A114" s="888"/>
      <c r="B114" s="872"/>
      <c r="C114" s="888"/>
      <c r="D114" s="280" t="s">
        <v>78</v>
      </c>
      <c r="E114" s="279" t="s">
        <v>25</v>
      </c>
      <c r="F114" s="595" t="s">
        <v>76</v>
      </c>
      <c r="G114" s="882"/>
      <c r="H114" s="887"/>
    </row>
    <row r="115" spans="1:8" ht="78.75">
      <c r="A115" s="888"/>
      <c r="B115" s="872"/>
      <c r="C115" s="888"/>
      <c r="D115" s="593" t="s">
        <v>75</v>
      </c>
      <c r="E115" s="892" t="s">
        <v>36</v>
      </c>
      <c r="F115" s="269">
        <v>300</v>
      </c>
      <c r="G115" s="269">
        <f aca="true" t="shared" si="5" ref="G115:G120">F115*1.2</f>
        <v>360</v>
      </c>
      <c r="H115" s="281" t="s">
        <v>80</v>
      </c>
    </row>
    <row r="116" spans="1:8" ht="78.75">
      <c r="A116" s="888"/>
      <c r="B116" s="872"/>
      <c r="C116" s="888"/>
      <c r="D116" s="587"/>
      <c r="E116" s="893"/>
      <c r="F116" s="270">
        <v>600</v>
      </c>
      <c r="G116" s="269">
        <f t="shared" si="5"/>
        <v>720</v>
      </c>
      <c r="H116" s="281" t="s">
        <v>81</v>
      </c>
    </row>
    <row r="117" spans="1:8" ht="78.75">
      <c r="A117" s="888"/>
      <c r="B117" s="872"/>
      <c r="C117" s="888"/>
      <c r="D117" s="588"/>
      <c r="E117" s="894"/>
      <c r="F117" s="282">
        <v>1000</v>
      </c>
      <c r="G117" s="282">
        <f t="shared" si="5"/>
        <v>1200</v>
      </c>
      <c r="H117" s="281" t="s">
        <v>82</v>
      </c>
    </row>
    <row r="118" spans="1:8" ht="78.75">
      <c r="A118" s="888"/>
      <c r="B118" s="872"/>
      <c r="C118" s="888"/>
      <c r="D118" s="593" t="s">
        <v>75</v>
      </c>
      <c r="E118" s="892" t="s">
        <v>206</v>
      </c>
      <c r="F118" s="282">
        <v>500</v>
      </c>
      <c r="G118" s="282">
        <f t="shared" si="5"/>
        <v>600</v>
      </c>
      <c r="H118" s="281" t="s">
        <v>80</v>
      </c>
    </row>
    <row r="119" spans="1:8" ht="78.75">
      <c r="A119" s="888"/>
      <c r="B119" s="872"/>
      <c r="C119" s="888"/>
      <c r="D119" s="587"/>
      <c r="E119" s="893"/>
      <c r="F119" s="282">
        <v>750</v>
      </c>
      <c r="G119" s="282">
        <f t="shared" si="5"/>
        <v>900</v>
      </c>
      <c r="H119" s="281" t="s">
        <v>81</v>
      </c>
    </row>
    <row r="120" spans="1:8" ht="78.75">
      <c r="A120" s="888"/>
      <c r="B120" s="872"/>
      <c r="C120" s="888"/>
      <c r="D120" s="588"/>
      <c r="E120" s="894"/>
      <c r="F120" s="282">
        <v>1000</v>
      </c>
      <c r="G120" s="282">
        <f t="shared" si="5"/>
        <v>1200</v>
      </c>
      <c r="H120" s="281" t="s">
        <v>82</v>
      </c>
    </row>
    <row r="121" spans="1:8" ht="78.75">
      <c r="A121" s="888"/>
      <c r="B121" s="872"/>
      <c r="C121" s="888"/>
      <c r="D121" s="895" t="s">
        <v>207</v>
      </c>
      <c r="E121" s="279" t="s">
        <v>25</v>
      </c>
      <c r="F121" s="283">
        <v>2112</v>
      </c>
      <c r="G121" s="284">
        <v>2534.4</v>
      </c>
      <c r="H121" s="281" t="s">
        <v>208</v>
      </c>
    </row>
    <row r="122" spans="1:8" ht="78.75">
      <c r="A122" s="888"/>
      <c r="B122" s="872"/>
      <c r="C122" s="888"/>
      <c r="D122" s="896"/>
      <c r="E122" s="279" t="s">
        <v>25</v>
      </c>
      <c r="F122" s="283">
        <v>3168</v>
      </c>
      <c r="G122" s="284">
        <v>3801.6</v>
      </c>
      <c r="H122" s="281" t="s">
        <v>85</v>
      </c>
    </row>
    <row r="123" spans="1:8" ht="15.75">
      <c r="A123" s="596" t="s">
        <v>355</v>
      </c>
      <c r="B123" s="873" t="s">
        <v>415</v>
      </c>
      <c r="C123" s="596" t="s">
        <v>277</v>
      </c>
      <c r="D123" s="593" t="s">
        <v>21</v>
      </c>
      <c r="E123" s="279" t="s">
        <v>22</v>
      </c>
      <c r="F123" s="595" t="s">
        <v>76</v>
      </c>
      <c r="G123" s="882"/>
      <c r="H123" s="596"/>
    </row>
    <row r="124" spans="1:8" ht="15.75">
      <c r="A124" s="596"/>
      <c r="B124" s="873"/>
      <c r="C124" s="596"/>
      <c r="D124" s="594"/>
      <c r="E124" s="279" t="s">
        <v>30</v>
      </c>
      <c r="F124" s="595" t="s">
        <v>76</v>
      </c>
      <c r="G124" s="882"/>
      <c r="H124" s="596"/>
    </row>
    <row r="125" spans="1:8" ht="15.75">
      <c r="A125" s="596"/>
      <c r="B125" s="873"/>
      <c r="C125" s="596"/>
      <c r="D125" s="273" t="s">
        <v>25</v>
      </c>
      <c r="E125" s="279"/>
      <c r="F125" s="595" t="s">
        <v>76</v>
      </c>
      <c r="G125" s="882"/>
      <c r="H125" s="596"/>
    </row>
    <row r="126" spans="1:8" ht="15.75">
      <c r="A126" s="873" t="s">
        <v>86</v>
      </c>
      <c r="B126" s="871"/>
      <c r="C126" s="873" t="s">
        <v>87</v>
      </c>
      <c r="D126" s="873"/>
      <c r="E126" s="873"/>
      <c r="F126" s="883"/>
      <c r="G126" s="883"/>
      <c r="H126" s="873"/>
    </row>
    <row r="127" spans="1:8" ht="15.75">
      <c r="A127" s="897">
        <v>10</v>
      </c>
      <c r="B127" s="898" t="s">
        <v>88</v>
      </c>
      <c r="C127" s="880" t="s">
        <v>90</v>
      </c>
      <c r="D127" s="901"/>
      <c r="E127" s="901"/>
      <c r="F127" s="901"/>
      <c r="G127" s="901"/>
      <c r="H127" s="902"/>
    </row>
    <row r="128" spans="1:8" ht="15.75">
      <c r="A128" s="886"/>
      <c r="B128" s="899"/>
      <c r="C128" s="885" t="s">
        <v>357</v>
      </c>
      <c r="D128" s="877" t="s">
        <v>91</v>
      </c>
      <c r="E128" s="903" t="s">
        <v>22</v>
      </c>
      <c r="F128" s="906">
        <v>1418</v>
      </c>
      <c r="G128" s="906">
        <f>F128*1.2</f>
        <v>1701.6</v>
      </c>
      <c r="H128" s="881" t="s">
        <v>688</v>
      </c>
    </row>
    <row r="129" spans="1:8" ht="15.75">
      <c r="A129" s="886"/>
      <c r="B129" s="899"/>
      <c r="C129" s="887"/>
      <c r="D129" s="877"/>
      <c r="E129" s="904"/>
      <c r="F129" s="907"/>
      <c r="G129" s="907"/>
      <c r="H129" s="881"/>
    </row>
    <row r="130" spans="1:8" ht="47.25">
      <c r="A130" s="886"/>
      <c r="B130" s="899"/>
      <c r="C130" s="274" t="s">
        <v>280</v>
      </c>
      <c r="D130" s="877"/>
      <c r="E130" s="905"/>
      <c r="F130" s="285">
        <v>1891</v>
      </c>
      <c r="G130" s="286">
        <f aca="true" t="shared" si="6" ref="G130:G136">F130*1.2</f>
        <v>2269.2</v>
      </c>
      <c r="H130" s="881"/>
    </row>
    <row r="131" spans="1:8" ht="15.75">
      <c r="A131" s="886"/>
      <c r="B131" s="899"/>
      <c r="C131" s="885" t="s">
        <v>282</v>
      </c>
      <c r="D131" s="868" t="s">
        <v>91</v>
      </c>
      <c r="E131" s="903" t="s">
        <v>212</v>
      </c>
      <c r="F131" s="906">
        <v>1064</v>
      </c>
      <c r="G131" s="906">
        <f>F131*1.2</f>
        <v>1276.8</v>
      </c>
      <c r="H131" s="881"/>
    </row>
    <row r="132" spans="1:8" ht="15.75">
      <c r="A132" s="886"/>
      <c r="B132" s="899"/>
      <c r="C132" s="887"/>
      <c r="D132" s="908"/>
      <c r="E132" s="905"/>
      <c r="F132" s="907"/>
      <c r="G132" s="907"/>
      <c r="H132" s="881"/>
    </row>
    <row r="133" spans="1:8" ht="31.5">
      <c r="A133" s="886"/>
      <c r="B133" s="899"/>
      <c r="C133" s="274" t="s">
        <v>283</v>
      </c>
      <c r="D133" s="877" t="s">
        <v>91</v>
      </c>
      <c r="E133" s="909" t="s">
        <v>30</v>
      </c>
      <c r="F133" s="285">
        <v>1891</v>
      </c>
      <c r="G133" s="286">
        <f t="shared" si="6"/>
        <v>2269.2</v>
      </c>
      <c r="H133" s="881"/>
    </row>
    <row r="134" spans="1:8" ht="31.5">
      <c r="A134" s="886"/>
      <c r="B134" s="899"/>
      <c r="C134" s="274" t="s">
        <v>282</v>
      </c>
      <c r="D134" s="877"/>
      <c r="E134" s="909"/>
      <c r="F134" s="285">
        <v>1418</v>
      </c>
      <c r="G134" s="286">
        <f t="shared" si="6"/>
        <v>1701.6</v>
      </c>
      <c r="H134" s="881"/>
    </row>
    <row r="135" spans="1:8" ht="15.75">
      <c r="A135" s="886"/>
      <c r="B135" s="899"/>
      <c r="C135" s="881" t="s">
        <v>282</v>
      </c>
      <c r="D135" s="877" t="s">
        <v>91</v>
      </c>
      <c r="E135" s="279" t="s">
        <v>212</v>
      </c>
      <c r="F135" s="285">
        <v>553</v>
      </c>
      <c r="G135" s="287">
        <f t="shared" si="6"/>
        <v>663.6</v>
      </c>
      <c r="H135" s="881" t="s">
        <v>472</v>
      </c>
    </row>
    <row r="136" spans="1:8" ht="15.75">
      <c r="A136" s="887"/>
      <c r="B136" s="900"/>
      <c r="C136" s="881"/>
      <c r="D136" s="877"/>
      <c r="E136" s="279" t="s">
        <v>30</v>
      </c>
      <c r="F136" s="285">
        <v>618</v>
      </c>
      <c r="G136" s="287">
        <f t="shared" si="6"/>
        <v>741.6</v>
      </c>
      <c r="H136" s="881"/>
    </row>
    <row r="137" spans="1:8" ht="15.75">
      <c r="A137" s="885">
        <v>11</v>
      </c>
      <c r="B137" s="871" t="s">
        <v>97</v>
      </c>
      <c r="C137" s="880" t="s">
        <v>96</v>
      </c>
      <c r="D137" s="901"/>
      <c r="E137" s="901"/>
      <c r="F137" s="901"/>
      <c r="G137" s="901"/>
      <c r="H137" s="902"/>
    </row>
    <row r="138" spans="1:8" ht="31.5">
      <c r="A138" s="886"/>
      <c r="B138" s="872"/>
      <c r="C138" s="288" t="s">
        <v>284</v>
      </c>
      <c r="D138" s="877" t="s">
        <v>79</v>
      </c>
      <c r="E138" s="909" t="s">
        <v>22</v>
      </c>
      <c r="F138" s="289">
        <v>54</v>
      </c>
      <c r="G138" s="287">
        <f aca="true" t="shared" si="7" ref="G138:G163">F138*1.2</f>
        <v>64.8</v>
      </c>
      <c r="H138" s="290" t="s">
        <v>473</v>
      </c>
    </row>
    <row r="139" spans="1:8" ht="157.5">
      <c r="A139" s="886"/>
      <c r="B139" s="872"/>
      <c r="C139" s="288" t="s">
        <v>284</v>
      </c>
      <c r="D139" s="877"/>
      <c r="E139" s="909"/>
      <c r="F139" s="289">
        <v>200</v>
      </c>
      <c r="G139" s="287">
        <f t="shared" si="7"/>
        <v>240</v>
      </c>
      <c r="H139" s="290" t="s">
        <v>474</v>
      </c>
    </row>
    <row r="140" spans="1:8" ht="15.75">
      <c r="A140" s="886"/>
      <c r="B140" s="872"/>
      <c r="C140" s="288" t="s">
        <v>362</v>
      </c>
      <c r="D140" s="877"/>
      <c r="E140" s="909"/>
      <c r="F140" s="289">
        <v>2743</v>
      </c>
      <c r="G140" s="287">
        <f>F140*1.2</f>
        <v>3291.6</v>
      </c>
      <c r="H140" s="290"/>
    </row>
    <row r="141" spans="1:8" ht="126">
      <c r="A141" s="886"/>
      <c r="B141" s="872"/>
      <c r="C141" s="288" t="s">
        <v>287</v>
      </c>
      <c r="D141" s="877"/>
      <c r="E141" s="909"/>
      <c r="F141" s="289">
        <v>2511</v>
      </c>
      <c r="G141" s="287">
        <f t="shared" si="7"/>
        <v>3013.2</v>
      </c>
      <c r="H141" s="291" t="s">
        <v>475</v>
      </c>
    </row>
    <row r="142" spans="1:8" ht="31.5">
      <c r="A142" s="886"/>
      <c r="B142" s="872"/>
      <c r="C142" s="288" t="s">
        <v>284</v>
      </c>
      <c r="D142" s="868" t="s">
        <v>79</v>
      </c>
      <c r="E142" s="909" t="s">
        <v>38</v>
      </c>
      <c r="F142" s="289">
        <v>88</v>
      </c>
      <c r="G142" s="287">
        <f t="shared" si="7"/>
        <v>105.6</v>
      </c>
      <c r="H142" s="290" t="s">
        <v>476</v>
      </c>
    </row>
    <row r="143" spans="1:8" ht="157.5">
      <c r="A143" s="886"/>
      <c r="B143" s="872"/>
      <c r="C143" s="288" t="s">
        <v>284</v>
      </c>
      <c r="D143" s="869"/>
      <c r="E143" s="909"/>
      <c r="F143" s="289">
        <v>380</v>
      </c>
      <c r="G143" s="287">
        <f t="shared" si="7"/>
        <v>456</v>
      </c>
      <c r="H143" s="290" t="s">
        <v>474</v>
      </c>
    </row>
    <row r="144" spans="1:8" ht="15.75">
      <c r="A144" s="886"/>
      <c r="B144" s="872"/>
      <c r="C144" s="288" t="s">
        <v>362</v>
      </c>
      <c r="D144" s="869"/>
      <c r="E144" s="909"/>
      <c r="F144" s="289">
        <v>3141</v>
      </c>
      <c r="G144" s="287">
        <f t="shared" si="7"/>
        <v>3769.2</v>
      </c>
      <c r="H144" s="290"/>
    </row>
    <row r="145" spans="1:8" ht="126">
      <c r="A145" s="886"/>
      <c r="B145" s="872"/>
      <c r="C145" s="288" t="s">
        <v>287</v>
      </c>
      <c r="D145" s="908"/>
      <c r="E145" s="909"/>
      <c r="F145" s="289">
        <v>4261</v>
      </c>
      <c r="G145" s="287">
        <f t="shared" si="7"/>
        <v>5113.2</v>
      </c>
      <c r="H145" s="290" t="s">
        <v>708</v>
      </c>
    </row>
    <row r="146" spans="1:8" ht="31.5">
      <c r="A146" s="886"/>
      <c r="B146" s="872"/>
      <c r="C146" s="288" t="s">
        <v>284</v>
      </c>
      <c r="D146" s="868" t="s">
        <v>79</v>
      </c>
      <c r="E146" s="903" t="s">
        <v>365</v>
      </c>
      <c r="F146" s="289">
        <v>92</v>
      </c>
      <c r="G146" s="287">
        <f t="shared" si="7"/>
        <v>110.39999999999999</v>
      </c>
      <c r="H146" s="290" t="s">
        <v>476</v>
      </c>
    </row>
    <row r="147" spans="1:8" ht="157.5">
      <c r="A147" s="886"/>
      <c r="B147" s="872"/>
      <c r="C147" s="288" t="s">
        <v>284</v>
      </c>
      <c r="D147" s="869"/>
      <c r="E147" s="904"/>
      <c r="F147" s="289">
        <v>390</v>
      </c>
      <c r="G147" s="287">
        <f t="shared" si="7"/>
        <v>468</v>
      </c>
      <c r="H147" s="290" t="s">
        <v>474</v>
      </c>
    </row>
    <row r="148" spans="1:8" ht="15.75">
      <c r="A148" s="886"/>
      <c r="B148" s="872"/>
      <c r="C148" s="288" t="s">
        <v>362</v>
      </c>
      <c r="D148" s="869"/>
      <c r="E148" s="904"/>
      <c r="F148" s="289">
        <v>3228</v>
      </c>
      <c r="G148" s="287">
        <f t="shared" si="7"/>
        <v>3873.6</v>
      </c>
      <c r="H148" s="290"/>
    </row>
    <row r="149" spans="1:8" ht="126">
      <c r="A149" s="886"/>
      <c r="B149" s="872"/>
      <c r="C149" s="288" t="s">
        <v>287</v>
      </c>
      <c r="D149" s="908"/>
      <c r="E149" s="905"/>
      <c r="F149" s="289">
        <v>4380</v>
      </c>
      <c r="G149" s="287">
        <f t="shared" si="7"/>
        <v>5256</v>
      </c>
      <c r="H149" s="290" t="s">
        <v>708</v>
      </c>
    </row>
    <row r="150" spans="1:8" ht="126">
      <c r="A150" s="886"/>
      <c r="B150" s="872"/>
      <c r="C150" s="288" t="s">
        <v>287</v>
      </c>
      <c r="D150" s="292" t="s">
        <v>79</v>
      </c>
      <c r="E150" s="279" t="s">
        <v>288</v>
      </c>
      <c r="F150" s="289">
        <v>1214</v>
      </c>
      <c r="G150" s="287">
        <f t="shared" si="7"/>
        <v>1456.8</v>
      </c>
      <c r="H150" s="290" t="s">
        <v>709</v>
      </c>
    </row>
    <row r="151" spans="1:8" ht="204.75">
      <c r="A151" s="887"/>
      <c r="B151" s="889"/>
      <c r="C151" s="288" t="s">
        <v>96</v>
      </c>
      <c r="D151" s="292" t="s">
        <v>705</v>
      </c>
      <c r="E151" s="279"/>
      <c r="F151" s="289">
        <v>187</v>
      </c>
      <c r="G151" s="287">
        <f t="shared" si="7"/>
        <v>224.4</v>
      </c>
      <c r="H151" s="290" t="s">
        <v>711</v>
      </c>
    </row>
    <row r="152" spans="1:8" ht="15.75">
      <c r="A152" s="885">
        <v>12</v>
      </c>
      <c r="B152" s="910" t="s">
        <v>420</v>
      </c>
      <c r="C152" s="913" t="s">
        <v>371</v>
      </c>
      <c r="D152" s="914"/>
      <c r="E152" s="914"/>
      <c r="F152" s="914"/>
      <c r="G152" s="914"/>
      <c r="H152" s="915"/>
    </row>
    <row r="153" spans="1:8" ht="47.25">
      <c r="A153" s="886"/>
      <c r="B153" s="911"/>
      <c r="C153" s="916" t="s">
        <v>371</v>
      </c>
      <c r="D153" s="288" t="s">
        <v>373</v>
      </c>
      <c r="E153" s="916" t="s">
        <v>477</v>
      </c>
      <c r="F153" s="289">
        <v>2316</v>
      </c>
      <c r="G153" s="287">
        <f t="shared" si="7"/>
        <v>2779.2</v>
      </c>
      <c r="H153" s="290" t="s">
        <v>478</v>
      </c>
    </row>
    <row r="154" spans="1:8" ht="47.25">
      <c r="A154" s="886"/>
      <c r="B154" s="911"/>
      <c r="C154" s="917"/>
      <c r="D154" s="293" t="s">
        <v>21</v>
      </c>
      <c r="E154" s="917"/>
      <c r="F154" s="294">
        <v>5807</v>
      </c>
      <c r="G154" s="287">
        <f t="shared" si="7"/>
        <v>6968.4</v>
      </c>
      <c r="H154" s="295" t="s">
        <v>479</v>
      </c>
    </row>
    <row r="155" spans="1:8" ht="78.75">
      <c r="A155" s="887"/>
      <c r="B155" s="912"/>
      <c r="C155" s="918"/>
      <c r="D155" s="296" t="s">
        <v>378</v>
      </c>
      <c r="E155" s="918"/>
      <c r="F155" s="294">
        <v>721</v>
      </c>
      <c r="G155" s="287">
        <f t="shared" si="7"/>
        <v>865.1999999999999</v>
      </c>
      <c r="H155" s="297" t="s">
        <v>706</v>
      </c>
    </row>
    <row r="156" spans="1:8" ht="15.75">
      <c r="A156" s="919">
        <v>13</v>
      </c>
      <c r="B156" s="921" t="s">
        <v>480</v>
      </c>
      <c r="C156" s="916" t="s">
        <v>104</v>
      </c>
      <c r="D156" s="916" t="s">
        <v>220</v>
      </c>
      <c r="E156" s="298"/>
      <c r="F156" s="294">
        <v>535</v>
      </c>
      <c r="G156" s="287">
        <f t="shared" si="7"/>
        <v>642</v>
      </c>
      <c r="H156" s="290" t="s">
        <v>423</v>
      </c>
    </row>
    <row r="157" spans="1:8" ht="15.75">
      <c r="A157" s="919"/>
      <c r="B157" s="922"/>
      <c r="C157" s="917"/>
      <c r="D157" s="917"/>
      <c r="E157" s="298"/>
      <c r="F157" s="294">
        <v>406</v>
      </c>
      <c r="G157" s="287">
        <f t="shared" si="7"/>
        <v>487.2</v>
      </c>
      <c r="H157" s="288" t="s">
        <v>296</v>
      </c>
    </row>
    <row r="158" spans="1:8" ht="15.75">
      <c r="A158" s="920"/>
      <c r="B158" s="923"/>
      <c r="C158" s="918"/>
      <c r="D158" s="918"/>
      <c r="E158" s="298"/>
      <c r="F158" s="294">
        <v>708</v>
      </c>
      <c r="G158" s="287">
        <f t="shared" si="7"/>
        <v>849.6</v>
      </c>
      <c r="H158" s="288" t="s">
        <v>481</v>
      </c>
    </row>
    <row r="159" spans="1:8" ht="15.75">
      <c r="A159" s="868">
        <v>14</v>
      </c>
      <c r="B159" s="910" t="s">
        <v>482</v>
      </c>
      <c r="C159" s="913" t="s">
        <v>111</v>
      </c>
      <c r="D159" s="914"/>
      <c r="E159" s="914"/>
      <c r="F159" s="914"/>
      <c r="G159" s="914"/>
      <c r="H159" s="915"/>
    </row>
    <row r="160" spans="1:8" ht="63">
      <c r="A160" s="869"/>
      <c r="B160" s="911"/>
      <c r="C160" s="288" t="s">
        <v>111</v>
      </c>
      <c r="D160" s="288" t="s">
        <v>220</v>
      </c>
      <c r="E160" s="279"/>
      <c r="F160" s="294">
        <v>3272</v>
      </c>
      <c r="G160" s="287">
        <f t="shared" si="7"/>
        <v>3926.3999999999996</v>
      </c>
      <c r="H160" s="290" t="s">
        <v>483</v>
      </c>
    </row>
    <row r="161" spans="1:8" ht="15.75">
      <c r="A161" s="869"/>
      <c r="B161" s="911"/>
      <c r="C161" s="878" t="s">
        <v>111</v>
      </c>
      <c r="D161" s="292" t="s">
        <v>21</v>
      </c>
      <c r="E161" s="279" t="s">
        <v>212</v>
      </c>
      <c r="F161" s="294">
        <v>1556</v>
      </c>
      <c r="G161" s="287">
        <f t="shared" si="7"/>
        <v>1867.1999999999998</v>
      </c>
      <c r="H161" s="586" t="s">
        <v>484</v>
      </c>
    </row>
    <row r="162" spans="1:8" ht="15.75">
      <c r="A162" s="908"/>
      <c r="B162" s="912"/>
      <c r="C162" s="878"/>
      <c r="D162" s="292" t="s">
        <v>21</v>
      </c>
      <c r="E162" s="279" t="s">
        <v>470</v>
      </c>
      <c r="F162" s="294">
        <v>1556</v>
      </c>
      <c r="G162" s="287">
        <f t="shared" si="7"/>
        <v>1867.1999999999998</v>
      </c>
      <c r="H162" s="586"/>
    </row>
    <row r="163" spans="1:8" ht="31.5">
      <c r="A163" s="299">
        <v>15</v>
      </c>
      <c r="B163" s="300" t="s">
        <v>113</v>
      </c>
      <c r="C163" s="290" t="s">
        <v>114</v>
      </c>
      <c r="D163" s="288" t="s">
        <v>376</v>
      </c>
      <c r="E163" s="279" t="s">
        <v>485</v>
      </c>
      <c r="F163" s="294">
        <v>110</v>
      </c>
      <c r="G163" s="287">
        <f t="shared" si="7"/>
        <v>132</v>
      </c>
      <c r="H163" s="290" t="s">
        <v>486</v>
      </c>
    </row>
    <row r="164" spans="1:8" ht="31.5">
      <c r="A164" s="299">
        <v>17</v>
      </c>
      <c r="B164" s="300" t="s">
        <v>120</v>
      </c>
      <c r="C164" s="290" t="s">
        <v>116</v>
      </c>
      <c r="D164" s="288" t="s">
        <v>21</v>
      </c>
      <c r="E164" s="279"/>
      <c r="F164" s="289">
        <v>1063</v>
      </c>
      <c r="G164" s="289">
        <f>F164*1.2</f>
        <v>1275.6</v>
      </c>
      <c r="H164" s="290" t="s">
        <v>300</v>
      </c>
    </row>
    <row r="165" spans="1:8" ht="15.75">
      <c r="A165" s="868">
        <v>18</v>
      </c>
      <c r="B165" s="910" t="s">
        <v>385</v>
      </c>
      <c r="C165" s="913" t="s">
        <v>126</v>
      </c>
      <c r="D165" s="914"/>
      <c r="E165" s="914"/>
      <c r="F165" s="914"/>
      <c r="G165" s="914"/>
      <c r="H165" s="915"/>
    </row>
    <row r="166" spans="1:8" ht="31.5">
      <c r="A166" s="869"/>
      <c r="B166" s="911"/>
      <c r="C166" s="586" t="s">
        <v>424</v>
      </c>
      <c r="D166" s="878" t="s">
        <v>119</v>
      </c>
      <c r="E166" s="909"/>
      <c r="F166" s="289">
        <v>314</v>
      </c>
      <c r="G166" s="289">
        <f>F166*1.2</f>
        <v>376.8</v>
      </c>
      <c r="H166" s="290" t="s">
        <v>425</v>
      </c>
    </row>
    <row r="167" spans="1:8" ht="15.75">
      <c r="A167" s="869"/>
      <c r="B167" s="911"/>
      <c r="C167" s="586"/>
      <c r="D167" s="878"/>
      <c r="E167" s="909"/>
      <c r="F167" s="862" t="s">
        <v>76</v>
      </c>
      <c r="G167" s="863"/>
      <c r="H167" s="290" t="s">
        <v>426</v>
      </c>
    </row>
    <row r="168" spans="1:8" ht="15.75">
      <c r="A168" s="869"/>
      <c r="B168" s="911"/>
      <c r="C168" s="586" t="s">
        <v>424</v>
      </c>
      <c r="D168" s="916" t="s">
        <v>21</v>
      </c>
      <c r="E168" s="301" t="s">
        <v>22</v>
      </c>
      <c r="F168" s="302">
        <v>2761</v>
      </c>
      <c r="G168" s="302">
        <f>F168*1.2</f>
        <v>3313.2</v>
      </c>
      <c r="H168" s="584" t="s">
        <v>487</v>
      </c>
    </row>
    <row r="169" spans="1:8" ht="15.75">
      <c r="A169" s="869"/>
      <c r="B169" s="911"/>
      <c r="C169" s="586"/>
      <c r="D169" s="918"/>
      <c r="E169" s="301" t="s">
        <v>30</v>
      </c>
      <c r="F169" s="302">
        <v>3754</v>
      </c>
      <c r="G169" s="302">
        <f>F169*1.2</f>
        <v>4504.8</v>
      </c>
      <c r="H169" s="924"/>
    </row>
    <row r="170" spans="1:8" ht="78.75">
      <c r="A170" s="869"/>
      <c r="B170" s="911"/>
      <c r="C170" s="303" t="s">
        <v>424</v>
      </c>
      <c r="D170" s="290" t="s">
        <v>119</v>
      </c>
      <c r="E170" s="290"/>
      <c r="F170" s="925" t="s">
        <v>76</v>
      </c>
      <c r="G170" s="863"/>
      <c r="H170" s="290" t="s">
        <v>132</v>
      </c>
    </row>
    <row r="171" spans="1:8" ht="15.75">
      <c r="A171" s="869"/>
      <c r="B171" s="911"/>
      <c r="C171" s="926" t="s">
        <v>424</v>
      </c>
      <c r="D171" s="916" t="s">
        <v>21</v>
      </c>
      <c r="E171" s="301" t="s">
        <v>288</v>
      </c>
      <c r="F171" s="302">
        <v>1308</v>
      </c>
      <c r="G171" s="302">
        <f>F171*1.2</f>
        <v>1569.6</v>
      </c>
      <c r="H171" s="584" t="s">
        <v>127</v>
      </c>
    </row>
    <row r="172" spans="1:8" ht="15.75">
      <c r="A172" s="869"/>
      <c r="B172" s="911"/>
      <c r="C172" s="927"/>
      <c r="D172" s="917"/>
      <c r="E172" s="301" t="s">
        <v>22</v>
      </c>
      <c r="F172" s="302">
        <v>2165</v>
      </c>
      <c r="G172" s="302">
        <f>F172*1.2</f>
        <v>2598</v>
      </c>
      <c r="H172" s="929"/>
    </row>
    <row r="173" spans="1:8" ht="15.75">
      <c r="A173" s="869"/>
      <c r="B173" s="911"/>
      <c r="C173" s="927"/>
      <c r="D173" s="917"/>
      <c r="E173" s="301" t="s">
        <v>38</v>
      </c>
      <c r="F173" s="302">
        <v>4333</v>
      </c>
      <c r="G173" s="302">
        <f>F173*1.2</f>
        <v>5199.599999999999</v>
      </c>
      <c r="H173" s="929"/>
    </row>
    <row r="174" spans="1:8" ht="15.75">
      <c r="A174" s="869"/>
      <c r="B174" s="911"/>
      <c r="C174" s="927"/>
      <c r="D174" s="918"/>
      <c r="E174" s="279" t="s">
        <v>365</v>
      </c>
      <c r="F174" s="302">
        <v>4454</v>
      </c>
      <c r="G174" s="302">
        <f>F174*1.2</f>
        <v>5344.8</v>
      </c>
      <c r="H174" s="929"/>
    </row>
    <row r="175" spans="1:8" ht="15.75">
      <c r="A175" s="908"/>
      <c r="B175" s="912"/>
      <c r="C175" s="928"/>
      <c r="D175" s="288" t="s">
        <v>25</v>
      </c>
      <c r="E175" s="279" t="s">
        <v>25</v>
      </c>
      <c r="F175" s="302">
        <v>4620</v>
      </c>
      <c r="G175" s="302">
        <f>F175*1.2</f>
        <v>5544</v>
      </c>
      <c r="H175" s="924"/>
    </row>
    <row r="176" spans="1:8" ht="15.75">
      <c r="A176" s="868">
        <v>19</v>
      </c>
      <c r="B176" s="871" t="s">
        <v>389</v>
      </c>
      <c r="C176" s="874" t="s">
        <v>134</v>
      </c>
      <c r="D176" s="875"/>
      <c r="E176" s="875"/>
      <c r="F176" s="875"/>
      <c r="G176" s="875"/>
      <c r="H176" s="876"/>
    </row>
    <row r="177" spans="1:8" ht="15.75">
      <c r="A177" s="869"/>
      <c r="B177" s="872"/>
      <c r="C177" s="290" t="s">
        <v>488</v>
      </c>
      <c r="D177" s="878" t="s">
        <v>21</v>
      </c>
      <c r="E177" s="290" t="s">
        <v>391</v>
      </c>
      <c r="F177" s="930" t="s">
        <v>76</v>
      </c>
      <c r="G177" s="931"/>
      <c r="H177" s="290"/>
    </row>
    <row r="178" spans="1:8" ht="141.75">
      <c r="A178" s="869"/>
      <c r="B178" s="872"/>
      <c r="C178" s="292" t="s">
        <v>489</v>
      </c>
      <c r="D178" s="878"/>
      <c r="E178" s="279" t="s">
        <v>490</v>
      </c>
      <c r="F178" s="286">
        <v>9586</v>
      </c>
      <c r="G178" s="286">
        <f>F178*1.2</f>
        <v>11503.199999999999</v>
      </c>
      <c r="H178" s="290" t="s">
        <v>491</v>
      </c>
    </row>
    <row r="179" spans="1:8" ht="15.75">
      <c r="A179" s="869"/>
      <c r="B179" s="872"/>
      <c r="C179" s="292" t="s">
        <v>492</v>
      </c>
      <c r="D179" s="878"/>
      <c r="E179" s="279" t="s">
        <v>391</v>
      </c>
      <c r="F179" s="932" t="s">
        <v>76</v>
      </c>
      <c r="G179" s="933"/>
      <c r="H179" s="290"/>
    </row>
    <row r="180" spans="1:8" ht="63">
      <c r="A180" s="869"/>
      <c r="B180" s="872"/>
      <c r="C180" s="292" t="s">
        <v>492</v>
      </c>
      <c r="D180" s="878"/>
      <c r="E180" s="279" t="s">
        <v>490</v>
      </c>
      <c r="F180" s="286">
        <v>4680</v>
      </c>
      <c r="G180" s="286">
        <f>F180*1.2</f>
        <v>5616</v>
      </c>
      <c r="H180" s="290" t="s">
        <v>493</v>
      </c>
    </row>
    <row r="181" spans="1:8" ht="31.5">
      <c r="A181" s="870"/>
      <c r="B181" s="857"/>
      <c r="C181" s="292" t="s">
        <v>492</v>
      </c>
      <c r="D181" s="304" t="s">
        <v>106</v>
      </c>
      <c r="E181" s="304" t="s">
        <v>21</v>
      </c>
      <c r="F181" s="305">
        <v>3560</v>
      </c>
      <c r="G181" s="306">
        <f>F181*1.2</f>
        <v>4272</v>
      </c>
      <c r="H181" s="307" t="s">
        <v>707</v>
      </c>
    </row>
    <row r="182" spans="1:8" ht="15.75">
      <c r="A182" s="873" t="s">
        <v>136</v>
      </c>
      <c r="B182" s="873"/>
      <c r="C182" s="874" t="s">
        <v>137</v>
      </c>
      <c r="D182" s="875"/>
      <c r="E182" s="875"/>
      <c r="F182" s="875"/>
      <c r="G182" s="875"/>
      <c r="H182" s="876"/>
    </row>
    <row r="183" spans="1:8" ht="15.75">
      <c r="A183" s="273" t="s">
        <v>396</v>
      </c>
      <c r="B183" s="300" t="s">
        <v>311</v>
      </c>
      <c r="C183" s="290" t="s">
        <v>312</v>
      </c>
      <c r="D183" s="290" t="s">
        <v>25</v>
      </c>
      <c r="E183" s="279"/>
      <c r="F183" s="934" t="s">
        <v>76</v>
      </c>
      <c r="G183" s="935"/>
      <c r="H183" s="290"/>
    </row>
    <row r="184" spans="1:8" ht="31.5">
      <c r="A184" s="273" t="s">
        <v>398</v>
      </c>
      <c r="B184" s="300" t="s">
        <v>139</v>
      </c>
      <c r="C184" s="290" t="s">
        <v>140</v>
      </c>
      <c r="D184" s="290" t="s">
        <v>21</v>
      </c>
      <c r="E184" s="270" t="s">
        <v>221</v>
      </c>
      <c r="F184" s="934" t="s">
        <v>76</v>
      </c>
      <c r="G184" s="935"/>
      <c r="H184" s="290" t="s">
        <v>428</v>
      </c>
    </row>
    <row r="185" spans="1:8" ht="15.75">
      <c r="A185" s="877">
        <v>22</v>
      </c>
      <c r="B185" s="873" t="s">
        <v>143</v>
      </c>
      <c r="C185" s="586" t="s">
        <v>144</v>
      </c>
      <c r="D185" s="878" t="s">
        <v>21</v>
      </c>
      <c r="E185" s="279" t="s">
        <v>22</v>
      </c>
      <c r="F185" s="934" t="s">
        <v>76</v>
      </c>
      <c r="G185" s="935"/>
      <c r="H185" s="290"/>
    </row>
    <row r="186" spans="1:8" ht="15.75">
      <c r="A186" s="877"/>
      <c r="B186" s="873"/>
      <c r="C186" s="586"/>
      <c r="D186" s="878"/>
      <c r="E186" s="270" t="s">
        <v>30</v>
      </c>
      <c r="F186" s="934" t="s">
        <v>76</v>
      </c>
      <c r="G186" s="935"/>
      <c r="H186" s="290"/>
    </row>
    <row r="187" spans="1:8" ht="31.5">
      <c r="A187" s="292">
        <v>23</v>
      </c>
      <c r="B187" s="300" t="s">
        <v>145</v>
      </c>
      <c r="C187" s="290" t="s">
        <v>146</v>
      </c>
      <c r="D187" s="288" t="s">
        <v>25</v>
      </c>
      <c r="E187" s="270"/>
      <c r="F187" s="934" t="s">
        <v>76</v>
      </c>
      <c r="G187" s="935"/>
      <c r="H187" s="270"/>
    </row>
    <row r="188" spans="1:8" ht="15.75">
      <c r="A188" s="308">
        <v>24</v>
      </c>
      <c r="B188" s="300" t="s">
        <v>399</v>
      </c>
      <c r="C188" s="936" t="s">
        <v>400</v>
      </c>
      <c r="D188" s="937"/>
      <c r="E188" s="937"/>
      <c r="F188" s="937"/>
      <c r="G188" s="937"/>
      <c r="H188" s="938"/>
    </row>
    <row r="189" spans="1:8" ht="47.25">
      <c r="A189" s="868">
        <v>25</v>
      </c>
      <c r="B189" s="860" t="s">
        <v>228</v>
      </c>
      <c r="C189" s="290" t="s">
        <v>227</v>
      </c>
      <c r="D189" s="309"/>
      <c r="E189" s="290" t="s">
        <v>494</v>
      </c>
      <c r="F189" s="862" t="s">
        <v>76</v>
      </c>
      <c r="G189" s="863"/>
      <c r="H189" s="310" t="s">
        <v>495</v>
      </c>
    </row>
    <row r="190" spans="1:8" ht="47.25">
      <c r="A190" s="908"/>
      <c r="B190" s="861"/>
      <c r="C190" s="290" t="s">
        <v>227</v>
      </c>
      <c r="D190" s="309" t="s">
        <v>21</v>
      </c>
      <c r="E190" s="290" t="s">
        <v>494</v>
      </c>
      <c r="F190" s="294">
        <v>212</v>
      </c>
      <c r="G190" s="294">
        <v>254.39999999999998</v>
      </c>
      <c r="H190" s="311" t="s">
        <v>235</v>
      </c>
    </row>
    <row r="191" spans="1:8" ht="31.5">
      <c r="A191" s="292">
        <v>26</v>
      </c>
      <c r="B191" s="300" t="s">
        <v>155</v>
      </c>
      <c r="C191" s="312" t="s">
        <v>496</v>
      </c>
      <c r="D191" s="288" t="s">
        <v>119</v>
      </c>
      <c r="E191" s="270"/>
      <c r="F191" s="294">
        <v>2181.91</v>
      </c>
      <c r="G191" s="294">
        <v>2618.292</v>
      </c>
      <c r="H191" s="295"/>
    </row>
    <row r="192" spans="1:8" ht="15.75">
      <c r="A192" s="864" t="s">
        <v>157</v>
      </c>
      <c r="B192" s="864"/>
      <c r="C192" s="865" t="s">
        <v>158</v>
      </c>
      <c r="D192" s="866"/>
      <c r="E192" s="866"/>
      <c r="F192" s="866"/>
      <c r="G192" s="866"/>
      <c r="H192" s="867"/>
    </row>
    <row r="193" spans="1:8" ht="15.75">
      <c r="A193" s="578">
        <v>27</v>
      </c>
      <c r="B193" s="573" t="s">
        <v>159</v>
      </c>
      <c r="C193" s="578" t="s">
        <v>160</v>
      </c>
      <c r="D193" s="579" t="s">
        <v>161</v>
      </c>
      <c r="E193" s="313" t="s">
        <v>22</v>
      </c>
      <c r="F193" s="294">
        <v>1269</v>
      </c>
      <c r="G193" s="294">
        <f>F193*1.2</f>
        <v>1522.8</v>
      </c>
      <c r="H193" s="881" t="s">
        <v>497</v>
      </c>
    </row>
    <row r="194" spans="1:8" ht="15.75">
      <c r="A194" s="578"/>
      <c r="B194" s="573"/>
      <c r="C194" s="578"/>
      <c r="D194" s="579"/>
      <c r="E194" s="313" t="s">
        <v>38</v>
      </c>
      <c r="F194" s="294">
        <v>1269</v>
      </c>
      <c r="G194" s="294">
        <f>F194*1.2</f>
        <v>1522.8</v>
      </c>
      <c r="H194" s="881"/>
    </row>
    <row r="195" spans="1:8" ht="126">
      <c r="A195" s="314">
        <v>28</v>
      </c>
      <c r="B195" s="315" t="s">
        <v>322</v>
      </c>
      <c r="C195" s="295" t="s">
        <v>164</v>
      </c>
      <c r="D195" s="291" t="s">
        <v>161</v>
      </c>
      <c r="E195" s="313"/>
      <c r="F195" s="294">
        <v>416</v>
      </c>
      <c r="G195" s="294">
        <f>F195*1.2</f>
        <v>499.2</v>
      </c>
      <c r="H195" s="274" t="s">
        <v>498</v>
      </c>
    </row>
    <row r="196" spans="1:8" ht="15.75">
      <c r="A196" s="564">
        <v>29</v>
      </c>
      <c r="B196" s="567" t="s">
        <v>499</v>
      </c>
      <c r="C196" s="858" t="s">
        <v>500</v>
      </c>
      <c r="D196" s="273" t="s">
        <v>21</v>
      </c>
      <c r="E196" s="273" t="s">
        <v>22</v>
      </c>
      <c r="F196" s="277">
        <v>2062</v>
      </c>
      <c r="G196" s="277">
        <f>F196*1.2</f>
        <v>2474.4</v>
      </c>
      <c r="H196" s="596" t="s">
        <v>501</v>
      </c>
    </row>
    <row r="197" spans="1:8" ht="15.75">
      <c r="A197" s="870"/>
      <c r="B197" s="857"/>
      <c r="C197" s="859"/>
      <c r="D197" s="273" t="s">
        <v>21</v>
      </c>
      <c r="E197" s="273" t="s">
        <v>38</v>
      </c>
      <c r="F197" s="277">
        <v>2227</v>
      </c>
      <c r="G197" s="277">
        <f>F197*1.2</f>
        <v>2672.4</v>
      </c>
      <c r="H197" s="596"/>
    </row>
    <row r="198" spans="1:8" ht="15.75">
      <c r="A198" s="50" t="s">
        <v>241</v>
      </c>
      <c r="B198" s="50"/>
      <c r="C198" s="50"/>
      <c r="D198" s="1"/>
      <c r="E198" s="1"/>
      <c r="F198" s="77"/>
      <c r="G198" s="78"/>
      <c r="H198" s="78"/>
    </row>
    <row r="199" spans="1:8" ht="15.75">
      <c r="A199" s="50"/>
      <c r="B199" s="50"/>
      <c r="C199" s="50"/>
      <c r="D199" s="101"/>
      <c r="E199" s="1"/>
      <c r="F199" s="77"/>
      <c r="G199" s="78"/>
      <c r="H199" s="78"/>
    </row>
    <row r="200" spans="1:8" ht="15.75">
      <c r="A200" s="50" t="s">
        <v>167</v>
      </c>
      <c r="B200" s="50"/>
      <c r="C200" s="50"/>
      <c r="D200" s="101"/>
      <c r="E200" s="106" t="s">
        <v>168</v>
      </c>
      <c r="F200" s="77"/>
      <c r="G200" s="78"/>
      <c r="H200" s="78"/>
    </row>
    <row r="201" spans="1:8" ht="15.75">
      <c r="A201" s="50"/>
      <c r="B201" s="50"/>
      <c r="C201" s="50"/>
      <c r="D201" s="101"/>
      <c r="E201" s="77"/>
      <c r="F201" s="77"/>
      <c r="G201" s="78"/>
      <c r="H201" s="78"/>
    </row>
    <row r="202" spans="1:8" ht="15.75">
      <c r="A202" s="50" t="s">
        <v>169</v>
      </c>
      <c r="B202" s="50"/>
      <c r="C202" s="50"/>
      <c r="D202" s="101"/>
      <c r="E202" s="79" t="s">
        <v>502</v>
      </c>
      <c r="F202" s="77"/>
      <c r="G202" s="78"/>
      <c r="H202" s="78"/>
    </row>
    <row r="203" spans="1:8" ht="15.75">
      <c r="A203" s="50"/>
      <c r="B203" s="50"/>
      <c r="C203" s="50"/>
      <c r="D203" s="101"/>
      <c r="E203" s="79"/>
      <c r="F203" s="77"/>
      <c r="G203" s="78"/>
      <c r="H203" s="78"/>
    </row>
    <row r="204" spans="1:8" ht="15.75">
      <c r="A204" s="50" t="s">
        <v>171</v>
      </c>
      <c r="B204" s="50"/>
      <c r="C204" s="50"/>
      <c r="D204" s="101"/>
      <c r="E204" s="193" t="s">
        <v>433</v>
      </c>
      <c r="F204" s="77"/>
      <c r="G204" s="78"/>
      <c r="H204" s="78"/>
    </row>
    <row r="205" spans="1:8" ht="15.75">
      <c r="A205" s="50"/>
      <c r="B205" s="50"/>
      <c r="C205" s="50"/>
      <c r="D205" s="101"/>
      <c r="E205" s="193"/>
      <c r="F205" s="77"/>
      <c r="G205" s="78"/>
      <c r="H205" s="78"/>
    </row>
    <row r="206" spans="1:8" ht="15.75">
      <c r="A206" s="50" t="s">
        <v>503</v>
      </c>
      <c r="B206" s="50"/>
      <c r="C206" s="50"/>
      <c r="D206" s="101"/>
      <c r="E206" s="193" t="s">
        <v>434</v>
      </c>
      <c r="F206" s="77"/>
      <c r="G206" s="78"/>
      <c r="H206" s="78"/>
    </row>
    <row r="207" spans="1:8" ht="15.75">
      <c r="A207" s="50"/>
      <c r="B207" s="50"/>
      <c r="C207" s="50"/>
      <c r="D207" s="42"/>
      <c r="E207" s="77"/>
      <c r="F207" s="77"/>
      <c r="G207" s="78"/>
      <c r="H207" s="78"/>
    </row>
    <row r="208" spans="1:8" ht="15.75">
      <c r="A208" s="50" t="s">
        <v>504</v>
      </c>
      <c r="B208" s="50"/>
      <c r="C208" s="50"/>
      <c r="D208" s="42"/>
      <c r="E208" s="79" t="s">
        <v>505</v>
      </c>
      <c r="F208" s="77"/>
      <c r="G208" s="78"/>
      <c r="H208" s="78"/>
    </row>
  </sheetData>
  <sheetProtection/>
  <mergeCells count="205">
    <mergeCell ref="A189:A190"/>
    <mergeCell ref="A196:A197"/>
    <mergeCell ref="F183:G183"/>
    <mergeCell ref="F184:G184"/>
    <mergeCell ref="F185:G185"/>
    <mergeCell ref="F186:G186"/>
    <mergeCell ref="F187:G187"/>
    <mergeCell ref="C188:H188"/>
    <mergeCell ref="D193:D194"/>
    <mergeCell ref="H193:H194"/>
    <mergeCell ref="F170:G170"/>
    <mergeCell ref="C171:C175"/>
    <mergeCell ref="D171:D174"/>
    <mergeCell ref="H171:H175"/>
    <mergeCell ref="C176:H176"/>
    <mergeCell ref="D177:D180"/>
    <mergeCell ref="F177:G177"/>
    <mergeCell ref="F179:G179"/>
    <mergeCell ref="A165:A175"/>
    <mergeCell ref="B165:B175"/>
    <mergeCell ref="C165:H165"/>
    <mergeCell ref="C166:C167"/>
    <mergeCell ref="D166:D167"/>
    <mergeCell ref="E166:E167"/>
    <mergeCell ref="F167:G167"/>
    <mergeCell ref="C168:C169"/>
    <mergeCell ref="D168:D169"/>
    <mergeCell ref="H168:H169"/>
    <mergeCell ref="A156:A158"/>
    <mergeCell ref="B156:B158"/>
    <mergeCell ref="C156:C158"/>
    <mergeCell ref="D156:D158"/>
    <mergeCell ref="A159:A162"/>
    <mergeCell ref="B159:B162"/>
    <mergeCell ref="C159:H159"/>
    <mergeCell ref="C161:C162"/>
    <mergeCell ref="H161:H162"/>
    <mergeCell ref="D146:D149"/>
    <mergeCell ref="E146:E149"/>
    <mergeCell ref="A152:A155"/>
    <mergeCell ref="B152:B155"/>
    <mergeCell ref="C152:H152"/>
    <mergeCell ref="C153:C155"/>
    <mergeCell ref="E153:E155"/>
    <mergeCell ref="C135:C136"/>
    <mergeCell ref="D135:D136"/>
    <mergeCell ref="H135:H136"/>
    <mergeCell ref="A137:A151"/>
    <mergeCell ref="B137:B151"/>
    <mergeCell ref="C137:H137"/>
    <mergeCell ref="D138:D141"/>
    <mergeCell ref="E138:E141"/>
    <mergeCell ref="D142:D145"/>
    <mergeCell ref="E142:E145"/>
    <mergeCell ref="D131:D132"/>
    <mergeCell ref="E131:E132"/>
    <mergeCell ref="F131:F132"/>
    <mergeCell ref="G131:G132"/>
    <mergeCell ref="D133:D134"/>
    <mergeCell ref="E133:E134"/>
    <mergeCell ref="A127:A136"/>
    <mergeCell ref="B127:B136"/>
    <mergeCell ref="C127:H127"/>
    <mergeCell ref="C128:C129"/>
    <mergeCell ref="D128:D130"/>
    <mergeCell ref="E128:E130"/>
    <mergeCell ref="F128:F129"/>
    <mergeCell ref="G128:G129"/>
    <mergeCell ref="H128:H134"/>
    <mergeCell ref="C131:C132"/>
    <mergeCell ref="F123:G123"/>
    <mergeCell ref="H123:H125"/>
    <mergeCell ref="F124:G124"/>
    <mergeCell ref="F125:G125"/>
    <mergeCell ref="A126:B126"/>
    <mergeCell ref="C126:H126"/>
    <mergeCell ref="E115:E117"/>
    <mergeCell ref="D118:D120"/>
    <mergeCell ref="E118:E120"/>
    <mergeCell ref="D121:D122"/>
    <mergeCell ref="A123:A125"/>
    <mergeCell ref="B123:B125"/>
    <mergeCell ref="C123:C125"/>
    <mergeCell ref="D123:D124"/>
    <mergeCell ref="H110:H112"/>
    <mergeCell ref="F111:G111"/>
    <mergeCell ref="F112:G112"/>
    <mergeCell ref="A113:A122"/>
    <mergeCell ref="B113:B122"/>
    <mergeCell ref="C113:C122"/>
    <mergeCell ref="F113:G113"/>
    <mergeCell ref="H113:H114"/>
    <mergeCell ref="F114:G114"/>
    <mergeCell ref="D115:D117"/>
    <mergeCell ref="C103:C105"/>
    <mergeCell ref="C106:C107"/>
    <mergeCell ref="A108:H108"/>
    <mergeCell ref="A109:B109"/>
    <mergeCell ref="C109:H109"/>
    <mergeCell ref="A110:A112"/>
    <mergeCell ref="B110:B112"/>
    <mergeCell ref="C110:C112"/>
    <mergeCell ref="D110:D111"/>
    <mergeCell ref="F110:G110"/>
    <mergeCell ref="D96:D97"/>
    <mergeCell ref="F96:G96"/>
    <mergeCell ref="H96:H98"/>
    <mergeCell ref="F97:G97"/>
    <mergeCell ref="F98:G98"/>
    <mergeCell ref="A99:A107"/>
    <mergeCell ref="B99:B107"/>
    <mergeCell ref="C99:H99"/>
    <mergeCell ref="C100:C102"/>
    <mergeCell ref="D100:D107"/>
    <mergeCell ref="C90:C91"/>
    <mergeCell ref="C92:C93"/>
    <mergeCell ref="C94:C95"/>
    <mergeCell ref="A96:A98"/>
    <mergeCell ref="B96:B98"/>
    <mergeCell ref="C96:C98"/>
    <mergeCell ref="A25:A95"/>
    <mergeCell ref="B25:B95"/>
    <mergeCell ref="C78:C79"/>
    <mergeCell ref="C80:C81"/>
    <mergeCell ref="C82:C83"/>
    <mergeCell ref="C84:C85"/>
    <mergeCell ref="C86:C87"/>
    <mergeCell ref="C88:C89"/>
    <mergeCell ref="C66:C67"/>
    <mergeCell ref="C68:C69"/>
    <mergeCell ref="C70:C71"/>
    <mergeCell ref="C72:C73"/>
    <mergeCell ref="C74:C75"/>
    <mergeCell ref="C76:C77"/>
    <mergeCell ref="C54:C55"/>
    <mergeCell ref="C56:C57"/>
    <mergeCell ref="C58:C59"/>
    <mergeCell ref="C60:C61"/>
    <mergeCell ref="C62:C63"/>
    <mergeCell ref="C64:C65"/>
    <mergeCell ref="C42:C43"/>
    <mergeCell ref="C44:C45"/>
    <mergeCell ref="C46:C47"/>
    <mergeCell ref="C48:C49"/>
    <mergeCell ref="C50:C51"/>
    <mergeCell ref="C52:C53"/>
    <mergeCell ref="C25:H25"/>
    <mergeCell ref="C26:C27"/>
    <mergeCell ref="H26:H29"/>
    <mergeCell ref="C28:C31"/>
    <mergeCell ref="C32:C33"/>
    <mergeCell ref="H32:H95"/>
    <mergeCell ref="C34:C35"/>
    <mergeCell ref="C36:C37"/>
    <mergeCell ref="C38:C39"/>
    <mergeCell ref="C40:C41"/>
    <mergeCell ref="A22:A24"/>
    <mergeCell ref="B22:B24"/>
    <mergeCell ref="C22:C24"/>
    <mergeCell ref="D22:D23"/>
    <mergeCell ref="F22:G22"/>
    <mergeCell ref="H22:H24"/>
    <mergeCell ref="F23:G23"/>
    <mergeCell ref="F24:G24"/>
    <mergeCell ref="A19:A21"/>
    <mergeCell ref="B19:B21"/>
    <mergeCell ref="C19:C21"/>
    <mergeCell ref="D19:D20"/>
    <mergeCell ref="F19:G19"/>
    <mergeCell ref="H19:H21"/>
    <mergeCell ref="F20:G20"/>
    <mergeCell ref="F21:G21"/>
    <mergeCell ref="A16:A18"/>
    <mergeCell ref="B16:B18"/>
    <mergeCell ref="C16:C18"/>
    <mergeCell ref="D16:D17"/>
    <mergeCell ref="F16:G16"/>
    <mergeCell ref="H16:H18"/>
    <mergeCell ref="F17:G17"/>
    <mergeCell ref="F18:G18"/>
    <mergeCell ref="A8:H8"/>
    <mergeCell ref="A9:H9"/>
    <mergeCell ref="A10:H10"/>
    <mergeCell ref="A11:H11"/>
    <mergeCell ref="A14:H14"/>
    <mergeCell ref="A15:B15"/>
    <mergeCell ref="C15:H15"/>
    <mergeCell ref="A176:A181"/>
    <mergeCell ref="B176:B181"/>
    <mergeCell ref="A182:B182"/>
    <mergeCell ref="C182:H182"/>
    <mergeCell ref="A185:A186"/>
    <mergeCell ref="B185:B186"/>
    <mergeCell ref="C185:C186"/>
    <mergeCell ref="D185:D186"/>
    <mergeCell ref="B196:B197"/>
    <mergeCell ref="C196:C197"/>
    <mergeCell ref="H196:H197"/>
    <mergeCell ref="B189:B190"/>
    <mergeCell ref="F189:G189"/>
    <mergeCell ref="A192:B192"/>
    <mergeCell ref="C192:H192"/>
    <mergeCell ref="A193:A194"/>
    <mergeCell ref="B193:B194"/>
    <mergeCell ref="C193:C194"/>
  </mergeCells>
  <printOptions/>
  <pageMargins left="0.11811023622047245" right="0.11811023622047245" top="0.15748031496062992" bottom="0.15748031496062992" header="0.31496062992125984" footer="0.31496062992125984"/>
  <pageSetup fitToHeight="5" fitToWidth="1" horizontalDpi="600" verticalDpi="600" orientation="portrait" paperSize="9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4"/>
  <sheetViews>
    <sheetView tabSelected="1" zoomScale="80" zoomScaleNormal="80" zoomScalePageLayoutView="0" workbookViewId="0" topLeftCell="A1">
      <selection activeCell="I11" sqref="I11"/>
    </sheetView>
  </sheetViews>
  <sheetFormatPr defaultColWidth="9.140625" defaultRowHeight="15"/>
  <cols>
    <col min="1" max="1" width="4.421875" style="231" customWidth="1"/>
    <col min="2" max="2" width="12.7109375" style="231" customWidth="1"/>
    <col min="3" max="3" width="64.28125" style="231" customWidth="1"/>
    <col min="4" max="4" width="14.28125" style="166" customWidth="1"/>
    <col min="5" max="5" width="10.00390625" style="166" customWidth="1"/>
    <col min="6" max="7" width="12.00390625" style="231" customWidth="1"/>
    <col min="8" max="8" width="76.7109375" style="231" customWidth="1"/>
    <col min="9" max="16384" width="9.140625" style="231" customWidth="1"/>
  </cols>
  <sheetData>
    <row r="1" spans="1:8" ht="15.75">
      <c r="A1" s="214"/>
      <c r="B1" s="214"/>
      <c r="C1" s="214"/>
      <c r="D1" s="69"/>
      <c r="E1" s="69"/>
      <c r="F1" s="214"/>
      <c r="G1" s="230"/>
      <c r="H1" s="69"/>
    </row>
    <row r="2" spans="1:8" ht="15.75">
      <c r="A2" s="214"/>
      <c r="B2" s="214"/>
      <c r="C2" s="214"/>
      <c r="D2" s="69"/>
      <c r="E2" s="69"/>
      <c r="F2" s="214"/>
      <c r="H2" s="1180" t="s">
        <v>0</v>
      </c>
    </row>
    <row r="3" spans="1:8" ht="15.75">
      <c r="A3" s="214"/>
      <c r="B3" s="214"/>
      <c r="C3" s="214"/>
      <c r="D3" s="69"/>
      <c r="E3" s="69"/>
      <c r="F3" s="214"/>
      <c r="H3" s="1181" t="s">
        <v>1</v>
      </c>
    </row>
    <row r="4" spans="1:8" ht="15.75">
      <c r="A4" s="214"/>
      <c r="B4" s="214"/>
      <c r="C4" s="214"/>
      <c r="D4" s="69"/>
      <c r="E4" s="69"/>
      <c r="F4" s="214"/>
      <c r="H4" s="1182" t="s">
        <v>2</v>
      </c>
    </row>
    <row r="5" spans="1:8" ht="15.75">
      <c r="A5" s="214"/>
      <c r="B5" s="214"/>
      <c r="C5" s="214"/>
      <c r="D5" s="69"/>
      <c r="E5" s="69"/>
      <c r="F5" s="214"/>
      <c r="H5" s="1182"/>
    </row>
    <row r="6" spans="1:8" ht="15.75">
      <c r="A6" s="214"/>
      <c r="B6" s="214"/>
      <c r="C6" s="214"/>
      <c r="D6" s="69"/>
      <c r="E6" s="69"/>
      <c r="F6" s="214"/>
      <c r="H6" s="7" t="s">
        <v>3</v>
      </c>
    </row>
    <row r="7" spans="1:8" ht="15.75">
      <c r="A7" s="214"/>
      <c r="B7" s="214"/>
      <c r="C7" s="214"/>
      <c r="D7" s="69"/>
      <c r="E7" s="69"/>
      <c r="F7" s="214"/>
      <c r="G7" s="232"/>
      <c r="H7" s="144"/>
    </row>
    <row r="8" spans="1:8" ht="15.75">
      <c r="A8" s="833" t="s">
        <v>4</v>
      </c>
      <c r="B8" s="833"/>
      <c r="C8" s="833"/>
      <c r="D8" s="833"/>
      <c r="E8" s="833"/>
      <c r="F8" s="833"/>
      <c r="G8" s="833"/>
      <c r="H8" s="833"/>
    </row>
    <row r="9" spans="1:8" ht="15.75">
      <c r="A9" s="833" t="s">
        <v>326</v>
      </c>
      <c r="B9" s="833"/>
      <c r="C9" s="833"/>
      <c r="D9" s="833"/>
      <c r="E9" s="833"/>
      <c r="F9" s="833"/>
      <c r="G9" s="833"/>
      <c r="H9" s="833"/>
    </row>
    <row r="10" spans="1:8" ht="15.75">
      <c r="A10" s="833" t="s">
        <v>327</v>
      </c>
      <c r="B10" s="833"/>
      <c r="C10" s="833"/>
      <c r="D10" s="833"/>
      <c r="E10" s="833"/>
      <c r="F10" s="833"/>
      <c r="G10" s="833"/>
      <c r="H10" s="833"/>
    </row>
    <row r="11" spans="1:8" ht="15.75">
      <c r="A11" s="833" t="s">
        <v>746</v>
      </c>
      <c r="B11" s="833"/>
      <c r="C11" s="833"/>
      <c r="D11" s="833"/>
      <c r="E11" s="833"/>
      <c r="F11" s="833"/>
      <c r="G11" s="833"/>
      <c r="H11" s="833"/>
    </row>
    <row r="12" spans="1:8" ht="16.5" thickBot="1">
      <c r="A12" s="939"/>
      <c r="B12" s="939"/>
      <c r="C12" s="939"/>
      <c r="D12" s="939"/>
      <c r="E12" s="939"/>
      <c r="F12" s="939"/>
      <c r="G12" s="939"/>
      <c r="H12" s="939"/>
    </row>
    <row r="13" spans="1:8" ht="63">
      <c r="A13" s="80" t="s">
        <v>8</v>
      </c>
      <c r="B13" s="81" t="s">
        <v>9</v>
      </c>
      <c r="C13" s="81" t="s">
        <v>10</v>
      </c>
      <c r="D13" s="81" t="s">
        <v>11</v>
      </c>
      <c r="E13" s="81" t="s">
        <v>12</v>
      </c>
      <c r="F13" s="81" t="s">
        <v>13</v>
      </c>
      <c r="G13" s="82" t="s">
        <v>14</v>
      </c>
      <c r="H13" s="233" t="s">
        <v>15</v>
      </c>
    </row>
    <row r="14" spans="1:8" ht="15.75">
      <c r="A14" s="940" t="s">
        <v>16</v>
      </c>
      <c r="B14" s="525"/>
      <c r="C14" s="525"/>
      <c r="D14" s="525"/>
      <c r="E14" s="525"/>
      <c r="F14" s="525"/>
      <c r="G14" s="525"/>
      <c r="H14" s="941"/>
    </row>
    <row r="15" spans="1:8" ht="15.75">
      <c r="A15" s="942" t="s">
        <v>17</v>
      </c>
      <c r="B15" s="550"/>
      <c r="C15" s="525" t="s">
        <v>18</v>
      </c>
      <c r="D15" s="525"/>
      <c r="E15" s="525"/>
      <c r="F15" s="525"/>
      <c r="G15" s="525"/>
      <c r="H15" s="941"/>
    </row>
    <row r="16" spans="1:8" ht="15.75">
      <c r="A16" s="943" t="s">
        <v>177</v>
      </c>
      <c r="B16" s="529" t="s">
        <v>19</v>
      </c>
      <c r="C16" s="531" t="s">
        <v>20</v>
      </c>
      <c r="D16" s="536" t="s">
        <v>21</v>
      </c>
      <c r="E16" s="30" t="s">
        <v>22</v>
      </c>
      <c r="F16" s="835" t="s">
        <v>76</v>
      </c>
      <c r="G16" s="836"/>
      <c r="H16" s="946" t="s">
        <v>328</v>
      </c>
    </row>
    <row r="17" spans="1:8" ht="31.5">
      <c r="A17" s="944"/>
      <c r="B17" s="530"/>
      <c r="C17" s="532"/>
      <c r="D17" s="538"/>
      <c r="E17" s="30" t="s">
        <v>30</v>
      </c>
      <c r="F17" s="835" t="s">
        <v>76</v>
      </c>
      <c r="G17" s="836"/>
      <c r="H17" s="1023"/>
    </row>
    <row r="18" spans="1:8" ht="15.75">
      <c r="A18" s="945"/>
      <c r="B18" s="539"/>
      <c r="C18" s="533"/>
      <c r="D18" s="15" t="s">
        <v>25</v>
      </c>
      <c r="E18" s="30"/>
      <c r="F18" s="835" t="s">
        <v>76</v>
      </c>
      <c r="G18" s="836"/>
      <c r="H18" s="1024"/>
    </row>
    <row r="19" spans="1:8" ht="15.75">
      <c r="A19" s="943" t="s">
        <v>179</v>
      </c>
      <c r="B19" s="529" t="s">
        <v>28</v>
      </c>
      <c r="C19" s="531" t="s">
        <v>329</v>
      </c>
      <c r="D19" s="536" t="s">
        <v>21</v>
      </c>
      <c r="E19" s="30" t="s">
        <v>22</v>
      </c>
      <c r="F19" s="835" t="s">
        <v>76</v>
      </c>
      <c r="G19" s="836"/>
      <c r="H19" s="946" t="s">
        <v>330</v>
      </c>
    </row>
    <row r="20" spans="1:8" ht="31.5">
      <c r="A20" s="944"/>
      <c r="B20" s="530"/>
      <c r="C20" s="532"/>
      <c r="D20" s="538"/>
      <c r="E20" s="30" t="s">
        <v>30</v>
      </c>
      <c r="F20" s="835" t="s">
        <v>76</v>
      </c>
      <c r="G20" s="836"/>
      <c r="H20" s="1023"/>
    </row>
    <row r="21" spans="1:8" ht="15.75">
      <c r="A21" s="945"/>
      <c r="B21" s="539"/>
      <c r="C21" s="533"/>
      <c r="D21" s="15" t="s">
        <v>25</v>
      </c>
      <c r="E21" s="30"/>
      <c r="F21" s="835" t="s">
        <v>76</v>
      </c>
      <c r="G21" s="836"/>
      <c r="H21" s="1024"/>
    </row>
    <row r="22" spans="1:8" ht="15.75">
      <c r="A22" s="943" t="s">
        <v>182</v>
      </c>
      <c r="B22" s="529" t="s">
        <v>31</v>
      </c>
      <c r="C22" s="531" t="s">
        <v>32</v>
      </c>
      <c r="D22" s="536" t="s">
        <v>21</v>
      </c>
      <c r="E22" s="30" t="s">
        <v>22</v>
      </c>
      <c r="F22" s="835" t="s">
        <v>76</v>
      </c>
      <c r="G22" s="836"/>
      <c r="H22" s="946" t="s">
        <v>330</v>
      </c>
    </row>
    <row r="23" spans="1:8" ht="31.5">
      <c r="A23" s="944"/>
      <c r="B23" s="530"/>
      <c r="C23" s="532"/>
      <c r="D23" s="538"/>
      <c r="E23" s="30" t="s">
        <v>30</v>
      </c>
      <c r="F23" s="835" t="s">
        <v>76</v>
      </c>
      <c r="G23" s="836"/>
      <c r="H23" s="1023"/>
    </row>
    <row r="24" spans="1:8" ht="15.75">
      <c r="A24" s="945"/>
      <c r="B24" s="539"/>
      <c r="C24" s="533"/>
      <c r="D24" s="12" t="s">
        <v>25</v>
      </c>
      <c r="E24" s="30"/>
      <c r="F24" s="835" t="s">
        <v>76</v>
      </c>
      <c r="G24" s="836"/>
      <c r="H24" s="1024"/>
    </row>
    <row r="25" spans="1:8" ht="15.75">
      <c r="A25" s="943" t="s">
        <v>183</v>
      </c>
      <c r="B25" s="529" t="s">
        <v>184</v>
      </c>
      <c r="C25" s="549" t="s">
        <v>34</v>
      </c>
      <c r="D25" s="837"/>
      <c r="E25" s="837"/>
      <c r="F25" s="837"/>
      <c r="G25" s="837"/>
      <c r="H25" s="947"/>
    </row>
    <row r="26" spans="1:8" ht="15.75">
      <c r="A26" s="944"/>
      <c r="B26" s="530"/>
      <c r="C26" s="536" t="s">
        <v>331</v>
      </c>
      <c r="D26" s="30" t="s">
        <v>21</v>
      </c>
      <c r="E26" s="12" t="s">
        <v>22</v>
      </c>
      <c r="F26" s="235">
        <f>2346*1.1+0.4</f>
        <v>2581.0000000000005</v>
      </c>
      <c r="G26" s="27">
        <f aca="true" t="shared" si="0" ref="G26:G76">F26*1.2</f>
        <v>3097.2000000000003</v>
      </c>
      <c r="H26" s="948" t="s">
        <v>747</v>
      </c>
    </row>
    <row r="27" spans="1:8" ht="15.75">
      <c r="A27" s="944"/>
      <c r="B27" s="530"/>
      <c r="C27" s="538"/>
      <c r="D27" s="30" t="s">
        <v>21</v>
      </c>
      <c r="E27" s="23" t="s">
        <v>38</v>
      </c>
      <c r="F27" s="235">
        <f>3722*1.1+0.8</f>
        <v>4095.0000000000005</v>
      </c>
      <c r="G27" s="27">
        <f t="shared" si="0"/>
        <v>4914</v>
      </c>
      <c r="H27" s="949"/>
    </row>
    <row r="28" spans="1:8" ht="15.75">
      <c r="A28" s="944"/>
      <c r="B28" s="530"/>
      <c r="C28" s="543" t="s">
        <v>332</v>
      </c>
      <c r="D28" s="30" t="s">
        <v>21</v>
      </c>
      <c r="E28" s="12" t="s">
        <v>22</v>
      </c>
      <c r="F28" s="235">
        <f>4361*1.06-0.66</f>
        <v>4622</v>
      </c>
      <c r="G28" s="27">
        <f t="shared" si="0"/>
        <v>5546.4</v>
      </c>
      <c r="H28" s="949"/>
    </row>
    <row r="29" spans="1:8" ht="15.75">
      <c r="A29" s="944"/>
      <c r="B29" s="530"/>
      <c r="C29" s="544"/>
      <c r="D29" s="30" t="s">
        <v>21</v>
      </c>
      <c r="E29" s="23" t="s">
        <v>38</v>
      </c>
      <c r="F29" s="235">
        <f>5820*1.1</f>
        <v>6402.000000000001</v>
      </c>
      <c r="G29" s="27">
        <f t="shared" si="0"/>
        <v>7682.400000000001</v>
      </c>
      <c r="H29" s="949"/>
    </row>
    <row r="30" spans="1:8" ht="15.75">
      <c r="A30" s="944"/>
      <c r="B30" s="530"/>
      <c r="C30" s="543" t="s">
        <v>333</v>
      </c>
      <c r="D30" s="30" t="s">
        <v>21</v>
      </c>
      <c r="E30" s="12" t="s">
        <v>22</v>
      </c>
      <c r="F30" s="235">
        <f>6367*1.1+0.3</f>
        <v>7004.000000000001</v>
      </c>
      <c r="G30" s="27">
        <f t="shared" si="0"/>
        <v>8404.800000000001</v>
      </c>
      <c r="H30" s="949"/>
    </row>
    <row r="31" spans="1:8" ht="15.75">
      <c r="A31" s="944"/>
      <c r="B31" s="530"/>
      <c r="C31" s="544"/>
      <c r="D31" s="30" t="s">
        <v>21</v>
      </c>
      <c r="E31" s="23" t="s">
        <v>38</v>
      </c>
      <c r="F31" s="235">
        <f>8223*1.1+0.7</f>
        <v>9046.000000000002</v>
      </c>
      <c r="G31" s="27">
        <f t="shared" si="0"/>
        <v>10855.200000000003</v>
      </c>
      <c r="H31" s="949"/>
    </row>
    <row r="32" spans="1:8" ht="15.75">
      <c r="A32" s="944"/>
      <c r="B32" s="530"/>
      <c r="C32" s="543" t="s">
        <v>334</v>
      </c>
      <c r="D32" s="30" t="s">
        <v>21</v>
      </c>
      <c r="E32" s="12" t="s">
        <v>22</v>
      </c>
      <c r="F32" s="235">
        <f>7057*1.1+0.3</f>
        <v>7763.000000000001</v>
      </c>
      <c r="G32" s="27">
        <f t="shared" si="0"/>
        <v>9315.6</v>
      </c>
      <c r="H32" s="949"/>
    </row>
    <row r="33" spans="1:8" ht="15.75">
      <c r="A33" s="944"/>
      <c r="B33" s="530"/>
      <c r="C33" s="544"/>
      <c r="D33" s="30" t="s">
        <v>21</v>
      </c>
      <c r="E33" s="23" t="s">
        <v>38</v>
      </c>
      <c r="F33" s="235">
        <f>11276*1.1+0.4</f>
        <v>12404</v>
      </c>
      <c r="G33" s="27">
        <f t="shared" si="0"/>
        <v>14884.8</v>
      </c>
      <c r="H33" s="949"/>
    </row>
    <row r="34" spans="1:8" ht="15.75">
      <c r="A34" s="944"/>
      <c r="B34" s="530"/>
      <c r="C34" s="543" t="s">
        <v>335</v>
      </c>
      <c r="D34" s="30" t="s">
        <v>21</v>
      </c>
      <c r="E34" s="12" t="s">
        <v>22</v>
      </c>
      <c r="F34" s="236">
        <f>7425*1.1+0.5</f>
        <v>8168.000000000001</v>
      </c>
      <c r="G34" s="27">
        <f t="shared" si="0"/>
        <v>9801.6</v>
      </c>
      <c r="H34" s="949"/>
    </row>
    <row r="35" spans="1:8" ht="15.75">
      <c r="A35" s="944"/>
      <c r="B35" s="530"/>
      <c r="C35" s="544"/>
      <c r="D35" s="30" t="s">
        <v>21</v>
      </c>
      <c r="E35" s="23" t="s">
        <v>38</v>
      </c>
      <c r="F35" s="236">
        <v>12705</v>
      </c>
      <c r="G35" s="27">
        <f t="shared" si="0"/>
        <v>15246</v>
      </c>
      <c r="H35" s="949"/>
    </row>
    <row r="36" spans="1:8" ht="15.75">
      <c r="A36" s="944"/>
      <c r="B36" s="530"/>
      <c r="C36" s="543" t="s">
        <v>336</v>
      </c>
      <c r="D36" s="30" t="s">
        <v>21</v>
      </c>
      <c r="E36" s="12" t="s">
        <v>22</v>
      </c>
      <c r="F36" s="236">
        <v>8844</v>
      </c>
      <c r="G36" s="27">
        <f t="shared" si="0"/>
        <v>10612.8</v>
      </c>
      <c r="H36" s="949"/>
    </row>
    <row r="37" spans="1:8" ht="15.75">
      <c r="A37" s="944"/>
      <c r="B37" s="530"/>
      <c r="C37" s="544"/>
      <c r="D37" s="30" t="s">
        <v>21</v>
      </c>
      <c r="E37" s="23" t="s">
        <v>38</v>
      </c>
      <c r="F37" s="236">
        <f>11711*1.1+0.9</f>
        <v>12883</v>
      </c>
      <c r="G37" s="27">
        <f t="shared" si="0"/>
        <v>15459.599999999999</v>
      </c>
      <c r="H37" s="949"/>
    </row>
    <row r="38" spans="1:8" ht="15.75">
      <c r="A38" s="944"/>
      <c r="B38" s="530"/>
      <c r="C38" s="543" t="s">
        <v>254</v>
      </c>
      <c r="D38" s="30" t="s">
        <v>21</v>
      </c>
      <c r="E38" s="12" t="s">
        <v>22</v>
      </c>
      <c r="F38" s="235">
        <v>12419</v>
      </c>
      <c r="G38" s="27">
        <f t="shared" si="0"/>
        <v>14902.8</v>
      </c>
      <c r="H38" s="949"/>
    </row>
    <row r="39" spans="1:8" ht="15.75">
      <c r="A39" s="944"/>
      <c r="B39" s="530"/>
      <c r="C39" s="544"/>
      <c r="D39" s="30" t="s">
        <v>21</v>
      </c>
      <c r="E39" s="23" t="s">
        <v>38</v>
      </c>
      <c r="F39" s="235">
        <f>18237*1.1+0.3</f>
        <v>20061</v>
      </c>
      <c r="G39" s="27">
        <f t="shared" si="0"/>
        <v>24073.2</v>
      </c>
      <c r="H39" s="949"/>
    </row>
    <row r="40" spans="1:8" ht="15.75">
      <c r="A40" s="944"/>
      <c r="B40" s="530"/>
      <c r="C40" s="543" t="s">
        <v>337</v>
      </c>
      <c r="D40" s="30" t="s">
        <v>21</v>
      </c>
      <c r="E40" s="12" t="s">
        <v>22</v>
      </c>
      <c r="F40" s="235">
        <f>12521*1.1+0.9</f>
        <v>13774</v>
      </c>
      <c r="G40" s="27">
        <f t="shared" si="0"/>
        <v>16528.8</v>
      </c>
      <c r="H40" s="949"/>
    </row>
    <row r="41" spans="1:8" ht="15.75">
      <c r="A41" s="944"/>
      <c r="B41" s="530"/>
      <c r="C41" s="544"/>
      <c r="D41" s="30" t="s">
        <v>21</v>
      </c>
      <c r="E41" s="23" t="s">
        <v>38</v>
      </c>
      <c r="F41" s="235">
        <f>18936*1.06-0.16</f>
        <v>20072</v>
      </c>
      <c r="G41" s="27">
        <f t="shared" si="0"/>
        <v>24086.399999999998</v>
      </c>
      <c r="H41" s="949"/>
    </row>
    <row r="42" spans="1:8" ht="15.75">
      <c r="A42" s="944"/>
      <c r="B42" s="530"/>
      <c r="C42" s="543" t="s">
        <v>338</v>
      </c>
      <c r="D42" s="30" t="s">
        <v>21</v>
      </c>
      <c r="E42" s="12" t="s">
        <v>22</v>
      </c>
      <c r="F42" s="235">
        <f>13394*1.1+0.6</f>
        <v>14734.000000000002</v>
      </c>
      <c r="G42" s="27">
        <f t="shared" si="0"/>
        <v>17680.800000000003</v>
      </c>
      <c r="H42" s="949"/>
    </row>
    <row r="43" spans="1:8" ht="15.75">
      <c r="A43" s="944"/>
      <c r="B43" s="530"/>
      <c r="C43" s="544"/>
      <c r="D43" s="30" t="s">
        <v>21</v>
      </c>
      <c r="E43" s="23" t="s">
        <v>38</v>
      </c>
      <c r="F43" s="235">
        <f>20740*1.06-0.4</f>
        <v>21984</v>
      </c>
      <c r="G43" s="27">
        <f t="shared" si="0"/>
        <v>26380.8</v>
      </c>
      <c r="H43" s="949"/>
    </row>
    <row r="44" spans="1:8" ht="15.75">
      <c r="A44" s="944"/>
      <c r="B44" s="530"/>
      <c r="C44" s="543" t="s">
        <v>339</v>
      </c>
      <c r="D44" s="30" t="s">
        <v>21</v>
      </c>
      <c r="E44" s="12" t="s">
        <v>22</v>
      </c>
      <c r="F44" s="235">
        <f>14919*1.1+0.1</f>
        <v>16411</v>
      </c>
      <c r="G44" s="27">
        <f t="shared" si="0"/>
        <v>19693.2</v>
      </c>
      <c r="H44" s="949"/>
    </row>
    <row r="45" spans="1:8" ht="15.75">
      <c r="A45" s="944"/>
      <c r="B45" s="530"/>
      <c r="C45" s="544"/>
      <c r="D45" s="30" t="s">
        <v>21</v>
      </c>
      <c r="E45" s="23" t="s">
        <v>38</v>
      </c>
      <c r="F45" s="235">
        <f>24268*1.1+0.2</f>
        <v>26695.000000000004</v>
      </c>
      <c r="G45" s="27">
        <f t="shared" si="0"/>
        <v>32034.000000000004</v>
      </c>
      <c r="H45" s="949"/>
    </row>
    <row r="46" spans="1:8" ht="15.75">
      <c r="A46" s="944"/>
      <c r="B46" s="530"/>
      <c r="C46" s="543" t="s">
        <v>340</v>
      </c>
      <c r="D46" s="30" t="s">
        <v>21</v>
      </c>
      <c r="E46" s="12" t="s">
        <v>22</v>
      </c>
      <c r="F46" s="235">
        <f>16101*1.1+0.9</f>
        <v>17712.000000000004</v>
      </c>
      <c r="G46" s="27">
        <f t="shared" si="0"/>
        <v>21254.400000000005</v>
      </c>
      <c r="H46" s="949"/>
    </row>
    <row r="47" spans="1:8" ht="15.75">
      <c r="A47" s="944"/>
      <c r="B47" s="530"/>
      <c r="C47" s="544"/>
      <c r="D47" s="30" t="s">
        <v>21</v>
      </c>
      <c r="E47" s="23" t="s">
        <v>38</v>
      </c>
      <c r="F47" s="235">
        <f>25169*1.06-0.14</f>
        <v>26679.000000000004</v>
      </c>
      <c r="G47" s="27">
        <f t="shared" si="0"/>
        <v>32014.800000000003</v>
      </c>
      <c r="H47" s="949"/>
    </row>
    <row r="48" spans="1:8" ht="15.75">
      <c r="A48" s="944"/>
      <c r="B48" s="530"/>
      <c r="C48" s="543" t="s">
        <v>341</v>
      </c>
      <c r="D48" s="30" t="s">
        <v>21</v>
      </c>
      <c r="E48" s="12" t="s">
        <v>22</v>
      </c>
      <c r="F48" s="235">
        <f>17059*1.1+0.1</f>
        <v>18765</v>
      </c>
      <c r="G48" s="27">
        <f t="shared" si="0"/>
        <v>22518</v>
      </c>
      <c r="H48" s="949"/>
    </row>
    <row r="49" spans="1:8" ht="15.75">
      <c r="A49" s="944"/>
      <c r="B49" s="530"/>
      <c r="C49" s="544"/>
      <c r="D49" s="30" t="s">
        <v>21</v>
      </c>
      <c r="E49" s="23" t="s">
        <v>38</v>
      </c>
      <c r="F49" s="235">
        <f>28275*1.1+0.5</f>
        <v>31103.000000000004</v>
      </c>
      <c r="G49" s="27">
        <f t="shared" si="0"/>
        <v>37323.600000000006</v>
      </c>
      <c r="H49" s="949"/>
    </row>
    <row r="50" spans="1:8" ht="15.75">
      <c r="A50" s="944"/>
      <c r="B50" s="530"/>
      <c r="C50" s="543" t="s">
        <v>342</v>
      </c>
      <c r="D50" s="30" t="s">
        <v>21</v>
      </c>
      <c r="E50" s="12" t="s">
        <v>22</v>
      </c>
      <c r="F50" s="235">
        <f>19367*1.1+0.3</f>
        <v>21304</v>
      </c>
      <c r="G50" s="27">
        <f t="shared" si="0"/>
        <v>25564.8</v>
      </c>
      <c r="H50" s="949"/>
    </row>
    <row r="51" spans="1:8" ht="15.75">
      <c r="A51" s="944"/>
      <c r="B51" s="530"/>
      <c r="C51" s="544"/>
      <c r="D51" s="30" t="s">
        <v>21</v>
      </c>
      <c r="E51" s="23" t="s">
        <v>38</v>
      </c>
      <c r="F51" s="130">
        <f>29466*1.1+0.4</f>
        <v>32413.000000000004</v>
      </c>
      <c r="G51" s="27">
        <f t="shared" si="0"/>
        <v>38895.600000000006</v>
      </c>
      <c r="H51" s="949"/>
    </row>
    <row r="52" spans="1:8" ht="15.75">
      <c r="A52" s="944"/>
      <c r="B52" s="530"/>
      <c r="C52" s="543" t="s">
        <v>343</v>
      </c>
      <c r="D52" s="30" t="s">
        <v>21</v>
      </c>
      <c r="E52" s="12" t="s">
        <v>22</v>
      </c>
      <c r="F52" s="235">
        <f>19706*1.1+0.4</f>
        <v>21677.000000000004</v>
      </c>
      <c r="G52" s="27">
        <f t="shared" si="0"/>
        <v>26012.400000000005</v>
      </c>
      <c r="H52" s="949"/>
    </row>
    <row r="53" spans="1:8" ht="15.75">
      <c r="A53" s="944"/>
      <c r="B53" s="530"/>
      <c r="C53" s="544"/>
      <c r="D53" s="30" t="s">
        <v>21</v>
      </c>
      <c r="E53" s="23" t="s">
        <v>38</v>
      </c>
      <c r="F53" s="235">
        <f>32673*1.1+0.7</f>
        <v>35941</v>
      </c>
      <c r="G53" s="27">
        <f t="shared" si="0"/>
        <v>43129.2</v>
      </c>
      <c r="H53" s="949"/>
    </row>
    <row r="54" spans="1:8" ht="15.75">
      <c r="A54" s="944"/>
      <c r="B54" s="530"/>
      <c r="C54" s="543" t="s">
        <v>344</v>
      </c>
      <c r="D54" s="30" t="s">
        <v>21</v>
      </c>
      <c r="E54" s="12" t="s">
        <v>22</v>
      </c>
      <c r="F54" s="235">
        <f>25481*1.1+0.9</f>
        <v>28030.000000000004</v>
      </c>
      <c r="G54" s="27">
        <f t="shared" si="0"/>
        <v>33636</v>
      </c>
      <c r="H54" s="949"/>
    </row>
    <row r="55" spans="1:8" ht="15.75">
      <c r="A55" s="944"/>
      <c r="B55" s="530"/>
      <c r="C55" s="544"/>
      <c r="D55" s="30" t="s">
        <v>21</v>
      </c>
      <c r="E55" s="23" t="s">
        <v>38</v>
      </c>
      <c r="F55" s="235">
        <f>36025*1.1+0.5</f>
        <v>39628</v>
      </c>
      <c r="G55" s="27">
        <f t="shared" si="0"/>
        <v>47553.6</v>
      </c>
      <c r="H55" s="949"/>
    </row>
    <row r="56" spans="1:8" ht="15.75">
      <c r="A56" s="944"/>
      <c r="B56" s="530"/>
      <c r="C56" s="543" t="s">
        <v>345</v>
      </c>
      <c r="D56" s="30" t="s">
        <v>21</v>
      </c>
      <c r="E56" s="12" t="s">
        <v>22</v>
      </c>
      <c r="F56" s="235">
        <f>30291*1.1+0.9</f>
        <v>33321.00000000001</v>
      </c>
      <c r="G56" s="27">
        <f t="shared" si="0"/>
        <v>39985.200000000004</v>
      </c>
      <c r="H56" s="949"/>
    </row>
    <row r="57" spans="1:8" ht="15.75">
      <c r="A57" s="944"/>
      <c r="B57" s="530"/>
      <c r="C57" s="544"/>
      <c r="D57" s="30" t="s">
        <v>21</v>
      </c>
      <c r="E57" s="23" t="s">
        <v>38</v>
      </c>
      <c r="F57" s="235">
        <f>40908*1.1+0.2</f>
        <v>44999</v>
      </c>
      <c r="G57" s="27">
        <f t="shared" si="0"/>
        <v>53998.799999999996</v>
      </c>
      <c r="H57" s="949"/>
    </row>
    <row r="58" spans="1:8" ht="15.75">
      <c r="A58" s="944"/>
      <c r="B58" s="530"/>
      <c r="C58" s="543" t="s">
        <v>346</v>
      </c>
      <c r="D58" s="30" t="s">
        <v>21</v>
      </c>
      <c r="E58" s="12" t="s">
        <v>22</v>
      </c>
      <c r="F58" s="235">
        <f>46431*1.06-0.86</f>
        <v>49216</v>
      </c>
      <c r="G58" s="27">
        <f t="shared" si="0"/>
        <v>59059.2</v>
      </c>
      <c r="H58" s="949"/>
    </row>
    <row r="59" spans="1:8" ht="15.75">
      <c r="A59" s="944"/>
      <c r="B59" s="530"/>
      <c r="C59" s="544"/>
      <c r="D59" s="30" t="s">
        <v>21</v>
      </c>
      <c r="E59" s="23" t="s">
        <v>38</v>
      </c>
      <c r="F59" s="235">
        <f>56426*1.1+0.4</f>
        <v>62069.00000000001</v>
      </c>
      <c r="G59" s="27">
        <f t="shared" si="0"/>
        <v>74482.8</v>
      </c>
      <c r="H59" s="949"/>
    </row>
    <row r="60" spans="1:8" ht="15.75">
      <c r="A60" s="944"/>
      <c r="B60" s="530"/>
      <c r="C60" s="168" t="s">
        <v>331</v>
      </c>
      <c r="D60" s="951" t="s">
        <v>347</v>
      </c>
      <c r="E60" s="952"/>
      <c r="F60" s="131">
        <f>2215*1.1+0.5</f>
        <v>2437</v>
      </c>
      <c r="G60" s="27">
        <f t="shared" si="0"/>
        <v>2924.4</v>
      </c>
      <c r="H60" s="949"/>
    </row>
    <row r="61" spans="1:8" ht="15.75">
      <c r="A61" s="944"/>
      <c r="B61" s="530"/>
      <c r="C61" s="23" t="s">
        <v>332</v>
      </c>
      <c r="D61" s="953"/>
      <c r="E61" s="954"/>
      <c r="F61" s="13">
        <v>4939</v>
      </c>
      <c r="G61" s="27">
        <f t="shared" si="0"/>
        <v>5926.8</v>
      </c>
      <c r="H61" s="949"/>
    </row>
    <row r="62" spans="1:8" ht="15.75">
      <c r="A62" s="944"/>
      <c r="B62" s="530"/>
      <c r="C62" s="23" t="s">
        <v>333</v>
      </c>
      <c r="D62" s="953"/>
      <c r="E62" s="954"/>
      <c r="F62" s="13">
        <f>6235*1.1+0.5</f>
        <v>6859.000000000001</v>
      </c>
      <c r="G62" s="27">
        <f t="shared" si="0"/>
        <v>8230.800000000001</v>
      </c>
      <c r="H62" s="949"/>
    </row>
    <row r="63" spans="1:8" ht="15.75">
      <c r="A63" s="944"/>
      <c r="B63" s="530"/>
      <c r="C63" s="23" t="s">
        <v>334</v>
      </c>
      <c r="D63" s="953"/>
      <c r="E63" s="954"/>
      <c r="F63" s="13">
        <f>6926*1.1+0.4</f>
        <v>7619</v>
      </c>
      <c r="G63" s="27">
        <f t="shared" si="0"/>
        <v>9142.8</v>
      </c>
      <c r="H63" s="949"/>
    </row>
    <row r="64" spans="1:8" ht="15.75">
      <c r="A64" s="944"/>
      <c r="B64" s="530"/>
      <c r="C64" s="23" t="s">
        <v>335</v>
      </c>
      <c r="D64" s="953"/>
      <c r="E64" s="954"/>
      <c r="F64" s="13">
        <f>8183*1.1+0.7</f>
        <v>9002.000000000002</v>
      </c>
      <c r="G64" s="27">
        <f t="shared" si="0"/>
        <v>10802.400000000001</v>
      </c>
      <c r="H64" s="949"/>
    </row>
    <row r="65" spans="1:8" ht="15.75">
      <c r="A65" s="944"/>
      <c r="B65" s="530"/>
      <c r="C65" s="23" t="s">
        <v>336</v>
      </c>
      <c r="D65" s="953"/>
      <c r="E65" s="954"/>
      <c r="F65" s="13">
        <f>10156*1.1+0.4</f>
        <v>11172</v>
      </c>
      <c r="G65" s="27">
        <f t="shared" si="0"/>
        <v>13406.4</v>
      </c>
      <c r="H65" s="949"/>
    </row>
    <row r="66" spans="1:8" ht="15.75">
      <c r="A66" s="944"/>
      <c r="B66" s="530"/>
      <c r="C66" s="23" t="s">
        <v>254</v>
      </c>
      <c r="D66" s="953"/>
      <c r="E66" s="954"/>
      <c r="F66" s="13">
        <f>11157*1.1+0.3</f>
        <v>12273</v>
      </c>
      <c r="G66" s="27">
        <f t="shared" si="0"/>
        <v>14727.6</v>
      </c>
      <c r="H66" s="949"/>
    </row>
    <row r="67" spans="1:8" ht="15.75">
      <c r="A67" s="944"/>
      <c r="B67" s="530"/>
      <c r="C67" s="23" t="s">
        <v>337</v>
      </c>
      <c r="D67" s="953"/>
      <c r="E67" s="954"/>
      <c r="F67" s="13">
        <f>12389*1.1+0.1</f>
        <v>13628.000000000002</v>
      </c>
      <c r="G67" s="27">
        <f t="shared" si="0"/>
        <v>16353.600000000002</v>
      </c>
      <c r="H67" s="949"/>
    </row>
    <row r="68" spans="1:8" ht="15.75">
      <c r="A68" s="944"/>
      <c r="B68" s="530"/>
      <c r="C68" s="23" t="s">
        <v>338</v>
      </c>
      <c r="D68" s="953"/>
      <c r="E68" s="954"/>
      <c r="F68" s="13">
        <f>13063*1.1+0.7</f>
        <v>14370.000000000002</v>
      </c>
      <c r="G68" s="27">
        <f t="shared" si="0"/>
        <v>17244</v>
      </c>
      <c r="H68" s="949"/>
    </row>
    <row r="69" spans="1:8" ht="15.75">
      <c r="A69" s="944"/>
      <c r="B69" s="530"/>
      <c r="C69" s="23" t="s">
        <v>339</v>
      </c>
      <c r="D69" s="953"/>
      <c r="E69" s="954"/>
      <c r="F69" s="13">
        <f>13245*1.1+0.5</f>
        <v>14570.000000000002</v>
      </c>
      <c r="G69" s="27">
        <f t="shared" si="0"/>
        <v>17484</v>
      </c>
      <c r="H69" s="949"/>
    </row>
    <row r="70" spans="1:8" ht="15.75">
      <c r="A70" s="944"/>
      <c r="B70" s="530"/>
      <c r="C70" s="23" t="s">
        <v>348</v>
      </c>
      <c r="D70" s="953"/>
      <c r="E70" s="954"/>
      <c r="F70" s="13">
        <f>13429*1.1+0.1</f>
        <v>14772.000000000002</v>
      </c>
      <c r="G70" s="27">
        <f t="shared" si="0"/>
        <v>17726.4</v>
      </c>
      <c r="H70" s="949"/>
    </row>
    <row r="71" spans="1:8" ht="15.75">
      <c r="A71" s="944"/>
      <c r="B71" s="530"/>
      <c r="C71" s="23" t="s">
        <v>341</v>
      </c>
      <c r="D71" s="953"/>
      <c r="E71" s="954"/>
      <c r="F71" s="13">
        <f>13477*1.1+0.3</f>
        <v>14825</v>
      </c>
      <c r="G71" s="27">
        <f t="shared" si="0"/>
        <v>17790</v>
      </c>
      <c r="H71" s="949"/>
    </row>
    <row r="72" spans="1:8" ht="15.75">
      <c r="A72" s="944"/>
      <c r="B72" s="530"/>
      <c r="C72" s="23" t="s">
        <v>342</v>
      </c>
      <c r="D72" s="953"/>
      <c r="E72" s="954"/>
      <c r="F72" s="13">
        <f>14843*1.1+0.7</f>
        <v>16328.000000000002</v>
      </c>
      <c r="G72" s="27">
        <f t="shared" si="0"/>
        <v>19593.600000000002</v>
      </c>
      <c r="H72" s="949"/>
    </row>
    <row r="73" spans="1:8" ht="15.75">
      <c r="A73" s="944"/>
      <c r="B73" s="530"/>
      <c r="C73" s="23" t="s">
        <v>343</v>
      </c>
      <c r="D73" s="953"/>
      <c r="E73" s="954"/>
      <c r="F73" s="13">
        <f>17562*1.1+0.8</f>
        <v>19319</v>
      </c>
      <c r="G73" s="27">
        <f t="shared" si="0"/>
        <v>23182.8</v>
      </c>
      <c r="H73" s="949"/>
    </row>
    <row r="74" spans="1:8" ht="15.75">
      <c r="A74" s="944"/>
      <c r="B74" s="530"/>
      <c r="C74" s="23" t="s">
        <v>344</v>
      </c>
      <c r="D74" s="953"/>
      <c r="E74" s="954"/>
      <c r="F74" s="13">
        <f>21329*1.1+0.1</f>
        <v>23462</v>
      </c>
      <c r="G74" s="27">
        <f t="shared" si="0"/>
        <v>28154.399999999998</v>
      </c>
      <c r="H74" s="949"/>
    </row>
    <row r="75" spans="1:8" ht="15.75">
      <c r="A75" s="944"/>
      <c r="B75" s="530"/>
      <c r="C75" s="23" t="s">
        <v>345</v>
      </c>
      <c r="D75" s="953"/>
      <c r="E75" s="954"/>
      <c r="F75" s="13">
        <v>27346</v>
      </c>
      <c r="G75" s="27">
        <f t="shared" si="0"/>
        <v>32815.2</v>
      </c>
      <c r="H75" s="949"/>
    </row>
    <row r="76" spans="1:8" ht="15.75">
      <c r="A76" s="945"/>
      <c r="B76" s="539"/>
      <c r="C76" s="23" t="s">
        <v>346</v>
      </c>
      <c r="D76" s="623"/>
      <c r="E76" s="624"/>
      <c r="F76" s="13">
        <f>42662*1.1+0.8</f>
        <v>46929.00000000001</v>
      </c>
      <c r="G76" s="27">
        <f t="shared" si="0"/>
        <v>56314.80000000001</v>
      </c>
      <c r="H76" s="950"/>
    </row>
    <row r="77" spans="1:8" ht="15.75">
      <c r="A77" s="943" t="s">
        <v>263</v>
      </c>
      <c r="B77" s="529" t="s">
        <v>57</v>
      </c>
      <c r="C77" s="536" t="s">
        <v>58</v>
      </c>
      <c r="D77" s="536" t="s">
        <v>21</v>
      </c>
      <c r="E77" s="30" t="s">
        <v>22</v>
      </c>
      <c r="F77" s="835" t="s">
        <v>76</v>
      </c>
      <c r="G77" s="836"/>
      <c r="H77" s="955" t="s">
        <v>330</v>
      </c>
    </row>
    <row r="78" spans="1:8" ht="31.5">
      <c r="A78" s="944"/>
      <c r="B78" s="530"/>
      <c r="C78" s="537"/>
      <c r="D78" s="538"/>
      <c r="E78" s="30" t="s">
        <v>30</v>
      </c>
      <c r="F78" s="835" t="s">
        <v>76</v>
      </c>
      <c r="G78" s="836"/>
      <c r="H78" s="979"/>
    </row>
    <row r="79" spans="1:8" ht="15.75">
      <c r="A79" s="945"/>
      <c r="B79" s="539"/>
      <c r="C79" s="538"/>
      <c r="D79" s="32" t="s">
        <v>25</v>
      </c>
      <c r="E79" s="41" t="s">
        <v>25</v>
      </c>
      <c r="F79" s="835" t="s">
        <v>76</v>
      </c>
      <c r="G79" s="836"/>
      <c r="H79" s="977"/>
    </row>
    <row r="80" spans="1:8" ht="15.75">
      <c r="A80" s="943" t="s">
        <v>267</v>
      </c>
      <c r="B80" s="529" t="s">
        <v>349</v>
      </c>
      <c r="C80" s="549" t="s">
        <v>350</v>
      </c>
      <c r="D80" s="837"/>
      <c r="E80" s="837"/>
      <c r="F80" s="837"/>
      <c r="G80" s="837"/>
      <c r="H80" s="947"/>
    </row>
    <row r="81" spans="1:8" ht="15.75">
      <c r="A81" s="944"/>
      <c r="B81" s="530"/>
      <c r="C81" s="536" t="s">
        <v>351</v>
      </c>
      <c r="D81" s="536" t="s">
        <v>21</v>
      </c>
      <c r="E81" s="189" t="s">
        <v>22</v>
      </c>
      <c r="F81" s="238">
        <v>3726</v>
      </c>
      <c r="G81" s="406">
        <f>F81*1.2</f>
        <v>4471.2</v>
      </c>
      <c r="H81" s="112" t="s">
        <v>264</v>
      </c>
    </row>
    <row r="82" spans="1:8" ht="15.75">
      <c r="A82" s="944"/>
      <c r="B82" s="530"/>
      <c r="C82" s="537"/>
      <c r="D82" s="537"/>
      <c r="E82" s="405" t="s">
        <v>22</v>
      </c>
      <c r="F82" s="223">
        <v>5290</v>
      </c>
      <c r="G82" s="406">
        <f>F82*1.2</f>
        <v>6348</v>
      </c>
      <c r="H82" s="112" t="s">
        <v>265</v>
      </c>
    </row>
    <row r="83" spans="1:8" ht="31.5">
      <c r="A83" s="944"/>
      <c r="B83" s="530"/>
      <c r="C83" s="538"/>
      <c r="D83" s="538"/>
      <c r="E83" s="405" t="s">
        <v>30</v>
      </c>
      <c r="F83" s="190">
        <v>6448</v>
      </c>
      <c r="G83" s="406">
        <f>F83*1.2</f>
        <v>7737.599999999999</v>
      </c>
      <c r="H83" s="112"/>
    </row>
    <row r="84" spans="1:8" ht="15.75">
      <c r="A84" s="944"/>
      <c r="B84" s="530"/>
      <c r="C84" s="536" t="s">
        <v>352</v>
      </c>
      <c r="D84" s="536" t="s">
        <v>21</v>
      </c>
      <c r="E84" s="132" t="s">
        <v>22</v>
      </c>
      <c r="F84" s="33">
        <v>2076</v>
      </c>
      <c r="G84" s="27">
        <f>F84*1.2</f>
        <v>2491.2</v>
      </c>
      <c r="H84" s="112" t="s">
        <v>264</v>
      </c>
    </row>
    <row r="85" spans="1:8" ht="15.75">
      <c r="A85" s="944"/>
      <c r="B85" s="530"/>
      <c r="C85" s="537"/>
      <c r="D85" s="537"/>
      <c r="E85" s="30" t="s">
        <v>22</v>
      </c>
      <c r="F85" s="33">
        <v>3640</v>
      </c>
      <c r="G85" s="27">
        <f>F85*1.2</f>
        <v>4368</v>
      </c>
      <c r="H85" s="112" t="s">
        <v>265</v>
      </c>
    </row>
    <row r="86" spans="1:8" ht="31.5">
      <c r="A86" s="944"/>
      <c r="B86" s="530"/>
      <c r="C86" s="538"/>
      <c r="D86" s="538"/>
      <c r="E86" s="30" t="s">
        <v>30</v>
      </c>
      <c r="F86" s="33">
        <v>3640</v>
      </c>
      <c r="G86" s="27">
        <f>F86*1.2</f>
        <v>4368</v>
      </c>
      <c r="H86" s="239"/>
    </row>
    <row r="87" spans="1:8" ht="15.75">
      <c r="A87" s="944"/>
      <c r="B87" s="530"/>
      <c r="C87" s="536" t="s">
        <v>352</v>
      </c>
      <c r="D87" s="536" t="s">
        <v>21</v>
      </c>
      <c r="E87" s="30" t="s">
        <v>22</v>
      </c>
      <c r="F87" s="33">
        <v>1650</v>
      </c>
      <c r="G87" s="27">
        <f>F87*1.2</f>
        <v>1980</v>
      </c>
      <c r="H87" s="112" t="s">
        <v>353</v>
      </c>
    </row>
    <row r="88" spans="1:8" ht="31.5">
      <c r="A88" s="945"/>
      <c r="B88" s="539"/>
      <c r="C88" s="538"/>
      <c r="D88" s="544"/>
      <c r="E88" s="30" t="s">
        <v>30</v>
      </c>
      <c r="F88" s="33">
        <f>2552*1.1+0.8</f>
        <v>2808.0000000000005</v>
      </c>
      <c r="G88" s="27">
        <f>F88*1.2</f>
        <v>3369.6000000000004</v>
      </c>
      <c r="H88" s="112" t="s">
        <v>353</v>
      </c>
    </row>
    <row r="89" spans="1:8" ht="15.75">
      <c r="A89" s="956" t="s">
        <v>68</v>
      </c>
      <c r="B89" s="841"/>
      <c r="C89" s="841"/>
      <c r="D89" s="841"/>
      <c r="E89" s="841"/>
      <c r="F89" s="841"/>
      <c r="G89" s="841"/>
      <c r="H89" s="957"/>
    </row>
    <row r="90" spans="1:8" ht="15.75">
      <c r="A90" s="942" t="s">
        <v>69</v>
      </c>
      <c r="B90" s="550"/>
      <c r="C90" s="549" t="s">
        <v>70</v>
      </c>
      <c r="D90" s="837"/>
      <c r="E90" s="837"/>
      <c r="F90" s="837"/>
      <c r="G90" s="837"/>
      <c r="H90" s="947"/>
    </row>
    <row r="91" spans="1:8" ht="15.75">
      <c r="A91" s="943" t="s">
        <v>203</v>
      </c>
      <c r="B91" s="529" t="s">
        <v>71</v>
      </c>
      <c r="C91" s="536" t="s">
        <v>72</v>
      </c>
      <c r="D91" s="536" t="s">
        <v>21</v>
      </c>
      <c r="E91" s="26" t="s">
        <v>22</v>
      </c>
      <c r="F91" s="835" t="s">
        <v>76</v>
      </c>
      <c r="G91" s="836"/>
      <c r="H91" s="241"/>
    </row>
    <row r="92" spans="1:8" ht="31.5">
      <c r="A92" s="944"/>
      <c r="B92" s="530"/>
      <c r="C92" s="537"/>
      <c r="D92" s="538"/>
      <c r="E92" s="30" t="s">
        <v>30</v>
      </c>
      <c r="F92" s="835" t="s">
        <v>76</v>
      </c>
      <c r="G92" s="836"/>
      <c r="H92" s="241"/>
    </row>
    <row r="93" spans="1:8" ht="15.75">
      <c r="A93" s="945"/>
      <c r="B93" s="539"/>
      <c r="C93" s="538"/>
      <c r="D93" s="30" t="s">
        <v>25</v>
      </c>
      <c r="E93" s="30"/>
      <c r="F93" s="835" t="s">
        <v>76</v>
      </c>
      <c r="G93" s="836"/>
      <c r="H93" s="241"/>
    </row>
    <row r="94" spans="1:8" ht="78.75">
      <c r="A94" s="943" t="s">
        <v>205</v>
      </c>
      <c r="B94" s="529" t="s">
        <v>73</v>
      </c>
      <c r="C94" s="536" t="s">
        <v>74</v>
      </c>
      <c r="D94" s="527" t="s">
        <v>75</v>
      </c>
      <c r="E94" s="1033" t="s">
        <v>22</v>
      </c>
      <c r="F94" s="223">
        <v>300</v>
      </c>
      <c r="G94" s="223">
        <f aca="true" t="shared" si="1" ref="G94:G101">F94*1.2</f>
        <v>360</v>
      </c>
      <c r="H94" s="63" t="s">
        <v>80</v>
      </c>
    </row>
    <row r="95" spans="1:8" ht="78.75">
      <c r="A95" s="944"/>
      <c r="B95" s="530"/>
      <c r="C95" s="537"/>
      <c r="D95" s="527"/>
      <c r="E95" s="1033"/>
      <c r="F95" s="407">
        <v>600</v>
      </c>
      <c r="G95" s="223">
        <f t="shared" si="1"/>
        <v>720</v>
      </c>
      <c r="H95" s="63" t="s">
        <v>81</v>
      </c>
    </row>
    <row r="96" spans="1:8" ht="78.75">
      <c r="A96" s="944"/>
      <c r="B96" s="530"/>
      <c r="C96" s="537"/>
      <c r="D96" s="527"/>
      <c r="E96" s="1033"/>
      <c r="F96" s="407">
        <v>1000</v>
      </c>
      <c r="G96" s="223">
        <f t="shared" si="1"/>
        <v>1200</v>
      </c>
      <c r="H96" s="63" t="s">
        <v>82</v>
      </c>
    </row>
    <row r="97" spans="1:8" ht="78.75">
      <c r="A97" s="944"/>
      <c r="B97" s="530"/>
      <c r="C97" s="537"/>
      <c r="D97" s="527" t="s">
        <v>75</v>
      </c>
      <c r="E97" s="826" t="s">
        <v>38</v>
      </c>
      <c r="F97" s="407">
        <v>500</v>
      </c>
      <c r="G97" s="223">
        <f t="shared" si="1"/>
        <v>600</v>
      </c>
      <c r="H97" s="63" t="s">
        <v>80</v>
      </c>
    </row>
    <row r="98" spans="1:8" ht="78.75">
      <c r="A98" s="944"/>
      <c r="B98" s="530"/>
      <c r="C98" s="537"/>
      <c r="D98" s="527"/>
      <c r="E98" s="826"/>
      <c r="F98" s="407">
        <v>750</v>
      </c>
      <c r="G98" s="223">
        <f t="shared" si="1"/>
        <v>900</v>
      </c>
      <c r="H98" s="63" t="s">
        <v>81</v>
      </c>
    </row>
    <row r="99" spans="1:8" ht="78.75">
      <c r="A99" s="944"/>
      <c r="B99" s="530"/>
      <c r="C99" s="537"/>
      <c r="D99" s="527"/>
      <c r="E99" s="827"/>
      <c r="F99" s="407">
        <v>1000</v>
      </c>
      <c r="G99" s="223">
        <f t="shared" si="1"/>
        <v>1200</v>
      </c>
      <c r="H99" s="63" t="s">
        <v>82</v>
      </c>
    </row>
    <row r="100" spans="1:8" ht="78.75">
      <c r="A100" s="944"/>
      <c r="B100" s="530"/>
      <c r="C100" s="537"/>
      <c r="D100" s="536" t="s">
        <v>207</v>
      </c>
      <c r="E100" s="26" t="s">
        <v>25</v>
      </c>
      <c r="F100" s="33">
        <v>2112</v>
      </c>
      <c r="G100" s="27">
        <f t="shared" si="1"/>
        <v>2534.4</v>
      </c>
      <c r="H100" s="112" t="s">
        <v>208</v>
      </c>
    </row>
    <row r="101" spans="1:8" ht="78.75">
      <c r="A101" s="944"/>
      <c r="B101" s="530"/>
      <c r="C101" s="537"/>
      <c r="D101" s="537"/>
      <c r="E101" s="26" t="s">
        <v>25</v>
      </c>
      <c r="F101" s="33">
        <v>3168</v>
      </c>
      <c r="G101" s="27">
        <f t="shared" si="1"/>
        <v>3801.6</v>
      </c>
      <c r="H101" s="112" t="s">
        <v>354</v>
      </c>
    </row>
    <row r="102" spans="1:8" ht="47.25">
      <c r="A102" s="944"/>
      <c r="B102" s="530"/>
      <c r="C102" s="537"/>
      <c r="D102" s="30" t="s">
        <v>75</v>
      </c>
      <c r="E102" s="26" t="s">
        <v>21</v>
      </c>
      <c r="F102" s="30" t="s">
        <v>76</v>
      </c>
      <c r="G102" s="30"/>
      <c r="H102" s="12" t="s">
        <v>77</v>
      </c>
    </row>
    <row r="103" spans="1:8" ht="15.75">
      <c r="A103" s="945"/>
      <c r="B103" s="539"/>
      <c r="C103" s="538"/>
      <c r="D103" s="32" t="s">
        <v>78</v>
      </c>
      <c r="E103" s="26" t="s">
        <v>25</v>
      </c>
      <c r="F103" s="30" t="s">
        <v>76</v>
      </c>
      <c r="G103" s="30"/>
      <c r="H103" s="237"/>
    </row>
    <row r="104" spans="1:8" ht="15.75">
      <c r="A104" s="943" t="s">
        <v>355</v>
      </c>
      <c r="B104" s="529" t="s">
        <v>276</v>
      </c>
      <c r="C104" s="536" t="s">
        <v>277</v>
      </c>
      <c r="D104" s="536" t="s">
        <v>21</v>
      </c>
      <c r="E104" s="26" t="s">
        <v>22</v>
      </c>
      <c r="F104" s="835" t="s">
        <v>76</v>
      </c>
      <c r="G104" s="836"/>
      <c r="H104" s="241"/>
    </row>
    <row r="105" spans="1:8" ht="31.5">
      <c r="A105" s="944"/>
      <c r="B105" s="530"/>
      <c r="C105" s="537"/>
      <c r="D105" s="538"/>
      <c r="E105" s="30" t="s">
        <v>30</v>
      </c>
      <c r="F105" s="835" t="s">
        <v>76</v>
      </c>
      <c r="G105" s="836"/>
      <c r="H105" s="241"/>
    </row>
    <row r="106" spans="1:8" ht="15.75">
      <c r="A106" s="945"/>
      <c r="B106" s="539"/>
      <c r="C106" s="538"/>
      <c r="D106" s="32" t="s">
        <v>25</v>
      </c>
      <c r="E106" s="26"/>
      <c r="F106" s="835" t="s">
        <v>76</v>
      </c>
      <c r="G106" s="836"/>
      <c r="H106" s="241"/>
    </row>
    <row r="107" spans="1:8" ht="15.75">
      <c r="A107" s="942" t="s">
        <v>86</v>
      </c>
      <c r="B107" s="550"/>
      <c r="C107" s="549" t="s">
        <v>87</v>
      </c>
      <c r="D107" s="837"/>
      <c r="E107" s="837"/>
      <c r="F107" s="837"/>
      <c r="G107" s="837"/>
      <c r="H107" s="947"/>
    </row>
    <row r="108" spans="1:8" ht="15.75">
      <c r="A108" s="958">
        <v>10</v>
      </c>
      <c r="B108" s="34" t="s">
        <v>88</v>
      </c>
      <c r="C108" s="849" t="s">
        <v>90</v>
      </c>
      <c r="D108" s="525"/>
      <c r="E108" s="525"/>
      <c r="F108" s="525"/>
      <c r="G108" s="525"/>
      <c r="H108" s="133"/>
    </row>
    <row r="109" spans="1:8" ht="31.5">
      <c r="A109" s="959"/>
      <c r="B109" s="35"/>
      <c r="C109" s="29" t="s">
        <v>283</v>
      </c>
      <c r="D109" s="23" t="s">
        <v>91</v>
      </c>
      <c r="E109" s="12" t="s">
        <v>288</v>
      </c>
      <c r="F109" s="33">
        <v>286</v>
      </c>
      <c r="G109" s="27">
        <f aca="true" t="shared" si="2" ref="G109:G117">F109*1.2</f>
        <v>343.2</v>
      </c>
      <c r="H109" s="948" t="s">
        <v>356</v>
      </c>
    </row>
    <row r="110" spans="1:8" ht="31.5">
      <c r="A110" s="959"/>
      <c r="B110" s="35"/>
      <c r="C110" s="29" t="s">
        <v>282</v>
      </c>
      <c r="D110" s="23" t="s">
        <v>91</v>
      </c>
      <c r="E110" s="12" t="s">
        <v>288</v>
      </c>
      <c r="F110" s="33">
        <f>196*1.1+0.4</f>
        <v>216.00000000000003</v>
      </c>
      <c r="G110" s="27">
        <f t="shared" si="2"/>
        <v>259.20000000000005</v>
      </c>
      <c r="H110" s="979"/>
    </row>
    <row r="111" spans="1:8" ht="31.5">
      <c r="A111" s="959"/>
      <c r="B111" s="15" t="s">
        <v>122</v>
      </c>
      <c r="C111" s="29" t="s">
        <v>357</v>
      </c>
      <c r="D111" s="543" t="s">
        <v>91</v>
      </c>
      <c r="E111" s="646" t="s">
        <v>22</v>
      </c>
      <c r="F111" s="244">
        <f>943*1.1+0.7</f>
        <v>1038.0000000000002</v>
      </c>
      <c r="G111" s="27">
        <f t="shared" si="2"/>
        <v>1245.6000000000001</v>
      </c>
      <c r="H111" s="979"/>
    </row>
    <row r="112" spans="1:8" ht="31.5">
      <c r="A112" s="959"/>
      <c r="B112" s="17"/>
      <c r="C112" s="29" t="s">
        <v>280</v>
      </c>
      <c r="D112" s="544"/>
      <c r="E112" s="646"/>
      <c r="F112" s="244">
        <f>1654*1.1+0.6</f>
        <v>1820</v>
      </c>
      <c r="G112" s="27">
        <f t="shared" si="2"/>
        <v>2184</v>
      </c>
      <c r="H112" s="979"/>
    </row>
    <row r="113" spans="1:8" ht="31.5">
      <c r="A113" s="959"/>
      <c r="B113" s="17"/>
      <c r="C113" s="29" t="s">
        <v>282</v>
      </c>
      <c r="D113" s="23" t="s">
        <v>91</v>
      </c>
      <c r="E113" s="26" t="s">
        <v>212</v>
      </c>
      <c r="F113" s="244">
        <v>825</v>
      </c>
      <c r="G113" s="27">
        <f t="shared" si="2"/>
        <v>990</v>
      </c>
      <c r="H113" s="979"/>
    </row>
    <row r="114" spans="1:8" ht="31.5">
      <c r="A114" s="959"/>
      <c r="B114" s="17"/>
      <c r="C114" s="29" t="s">
        <v>283</v>
      </c>
      <c r="D114" s="642" t="s">
        <v>91</v>
      </c>
      <c r="E114" s="646" t="s">
        <v>30</v>
      </c>
      <c r="F114" s="244">
        <f>1654*1.1+0.6</f>
        <v>1820</v>
      </c>
      <c r="G114" s="27">
        <f t="shared" si="2"/>
        <v>2184</v>
      </c>
      <c r="H114" s="979"/>
    </row>
    <row r="115" spans="1:8" ht="31.5">
      <c r="A115" s="959"/>
      <c r="B115" s="17"/>
      <c r="C115" s="29" t="s">
        <v>282</v>
      </c>
      <c r="D115" s="642"/>
      <c r="E115" s="646"/>
      <c r="F115" s="244">
        <f>1276*1.1+0.4</f>
        <v>1404.0000000000002</v>
      </c>
      <c r="G115" s="27">
        <f t="shared" si="2"/>
        <v>1684.8000000000002</v>
      </c>
      <c r="H115" s="977"/>
    </row>
    <row r="116" spans="1:8" ht="15.75">
      <c r="A116" s="959"/>
      <c r="B116" s="17"/>
      <c r="C116" s="962" t="s">
        <v>282</v>
      </c>
      <c r="D116" s="543" t="s">
        <v>91</v>
      </c>
      <c r="E116" s="30" t="s">
        <v>22</v>
      </c>
      <c r="F116" s="244">
        <f>678*1.1+0.2</f>
        <v>746.0000000000001</v>
      </c>
      <c r="G116" s="27">
        <f t="shared" si="2"/>
        <v>895.2000000000002</v>
      </c>
      <c r="H116" s="948" t="s">
        <v>358</v>
      </c>
    </row>
    <row r="117" spans="1:8" ht="31.5">
      <c r="A117" s="960"/>
      <c r="B117" s="25"/>
      <c r="C117" s="963"/>
      <c r="D117" s="544"/>
      <c r="E117" s="30" t="s">
        <v>30</v>
      </c>
      <c r="F117" s="244">
        <f>1358*1.1+0.2</f>
        <v>1494.0000000000002</v>
      </c>
      <c r="G117" s="27">
        <f t="shared" si="2"/>
        <v>1792.8000000000002</v>
      </c>
      <c r="H117" s="950"/>
    </row>
    <row r="118" spans="1:8" ht="15.75">
      <c r="A118" s="958">
        <v>11</v>
      </c>
      <c r="B118" s="529" t="s">
        <v>97</v>
      </c>
      <c r="C118" s="847" t="s">
        <v>96</v>
      </c>
      <c r="D118" s="848"/>
      <c r="E118" s="848"/>
      <c r="F118" s="848"/>
      <c r="G118" s="849"/>
      <c r="H118" s="245"/>
    </row>
    <row r="119" spans="1:8" ht="110.25">
      <c r="A119" s="959"/>
      <c r="B119" s="530"/>
      <c r="C119" s="19" t="s">
        <v>284</v>
      </c>
      <c r="D119" s="531" t="s">
        <v>79</v>
      </c>
      <c r="E119" s="531" t="s">
        <v>288</v>
      </c>
      <c r="F119" s="26">
        <f>188*1.1+0.2</f>
        <v>207</v>
      </c>
      <c r="G119" s="33">
        <f aca="true" t="shared" si="3" ref="G119:G129">F119*1.2</f>
        <v>248.39999999999998</v>
      </c>
      <c r="H119" s="112" t="s">
        <v>359</v>
      </c>
    </row>
    <row r="120" spans="1:8" ht="78.75">
      <c r="A120" s="959"/>
      <c r="B120" s="530"/>
      <c r="C120" s="19" t="s">
        <v>360</v>
      </c>
      <c r="D120" s="532"/>
      <c r="E120" s="532"/>
      <c r="F120" s="26">
        <f>1268*1.1+0.2</f>
        <v>1395.0000000000002</v>
      </c>
      <c r="G120" s="33">
        <f t="shared" si="3"/>
        <v>1674.0000000000002</v>
      </c>
      <c r="H120" s="246" t="s">
        <v>361</v>
      </c>
    </row>
    <row r="121" spans="1:8" ht="15.75">
      <c r="A121" s="959"/>
      <c r="B121" s="530"/>
      <c r="C121" s="19" t="s">
        <v>284</v>
      </c>
      <c r="D121" s="642" t="s">
        <v>79</v>
      </c>
      <c r="E121" s="646" t="s">
        <v>22</v>
      </c>
      <c r="F121" s="240">
        <f>385*1.1+0.5</f>
        <v>424.00000000000006</v>
      </c>
      <c r="G121" s="33">
        <f t="shared" si="3"/>
        <v>508.80000000000007</v>
      </c>
      <c r="H121" s="948" t="s">
        <v>359</v>
      </c>
    </row>
    <row r="122" spans="1:8" ht="15.75">
      <c r="A122" s="959"/>
      <c r="B122" s="530"/>
      <c r="C122" s="19" t="s">
        <v>362</v>
      </c>
      <c r="D122" s="642"/>
      <c r="E122" s="646"/>
      <c r="F122" s="244">
        <f>2587*1.1+0.3</f>
        <v>2846.0000000000005</v>
      </c>
      <c r="G122" s="33">
        <f t="shared" si="3"/>
        <v>3415.2000000000003</v>
      </c>
      <c r="H122" s="1025"/>
    </row>
    <row r="123" spans="1:8" ht="78.75">
      <c r="A123" s="959"/>
      <c r="B123" s="530"/>
      <c r="C123" s="19" t="s">
        <v>360</v>
      </c>
      <c r="D123" s="642"/>
      <c r="E123" s="646"/>
      <c r="F123" s="244">
        <f>1916*1.1+0.4</f>
        <v>2108.0000000000005</v>
      </c>
      <c r="G123" s="33">
        <f t="shared" si="3"/>
        <v>2529.6000000000004</v>
      </c>
      <c r="H123" s="246" t="s">
        <v>363</v>
      </c>
    </row>
    <row r="124" spans="1:8" ht="15.75">
      <c r="A124" s="959"/>
      <c r="B124" s="530"/>
      <c r="C124" s="19" t="s">
        <v>284</v>
      </c>
      <c r="D124" s="642" t="s">
        <v>79</v>
      </c>
      <c r="E124" s="646" t="s">
        <v>38</v>
      </c>
      <c r="F124" s="244">
        <f>467*1.1+0.3</f>
        <v>514</v>
      </c>
      <c r="G124" s="33">
        <f t="shared" si="3"/>
        <v>616.8</v>
      </c>
      <c r="H124" s="948" t="s">
        <v>359</v>
      </c>
    </row>
    <row r="125" spans="1:8" ht="15.75">
      <c r="A125" s="959"/>
      <c r="B125" s="530"/>
      <c r="C125" s="19" t="s">
        <v>362</v>
      </c>
      <c r="D125" s="642"/>
      <c r="E125" s="646"/>
      <c r="F125" s="244">
        <f>2963*1.1+0.7</f>
        <v>3260</v>
      </c>
      <c r="G125" s="33">
        <f t="shared" si="3"/>
        <v>3912</v>
      </c>
      <c r="H125" s="977"/>
    </row>
    <row r="126" spans="1:8" ht="63">
      <c r="A126" s="959"/>
      <c r="B126" s="530"/>
      <c r="C126" s="19" t="s">
        <v>360</v>
      </c>
      <c r="D126" s="642"/>
      <c r="E126" s="646"/>
      <c r="F126" s="244">
        <f>2191*1.1+0.9</f>
        <v>2411.0000000000005</v>
      </c>
      <c r="G126" s="33">
        <f t="shared" si="3"/>
        <v>2893.2000000000003</v>
      </c>
      <c r="H126" s="246" t="s">
        <v>364</v>
      </c>
    </row>
    <row r="127" spans="1:8" ht="15.75">
      <c r="A127" s="959"/>
      <c r="B127" s="530"/>
      <c r="C127" s="19" t="s">
        <v>284</v>
      </c>
      <c r="D127" s="642" t="s">
        <v>79</v>
      </c>
      <c r="E127" s="646" t="s">
        <v>365</v>
      </c>
      <c r="F127" s="244">
        <f>481*1.1+0.9</f>
        <v>530</v>
      </c>
      <c r="G127" s="33">
        <f t="shared" si="3"/>
        <v>636</v>
      </c>
      <c r="H127" s="948" t="s">
        <v>359</v>
      </c>
    </row>
    <row r="128" spans="1:8" ht="15.75">
      <c r="A128" s="959"/>
      <c r="B128" s="530"/>
      <c r="C128" s="19" t="s">
        <v>362</v>
      </c>
      <c r="D128" s="642"/>
      <c r="E128" s="646"/>
      <c r="F128" s="244">
        <f>3045*1.1+0.5</f>
        <v>3350.0000000000005</v>
      </c>
      <c r="G128" s="33">
        <f t="shared" si="3"/>
        <v>4020.0000000000005</v>
      </c>
      <c r="H128" s="977"/>
    </row>
    <row r="129" spans="1:8" ht="63">
      <c r="A129" s="959"/>
      <c r="B129" s="530"/>
      <c r="C129" s="19" t="s">
        <v>360</v>
      </c>
      <c r="D129" s="642"/>
      <c r="E129" s="646"/>
      <c r="F129" s="244">
        <f>2253*1.1+0.7</f>
        <v>2479</v>
      </c>
      <c r="G129" s="33">
        <f t="shared" si="3"/>
        <v>2974.7999999999997</v>
      </c>
      <c r="H129" s="246" t="s">
        <v>364</v>
      </c>
    </row>
    <row r="130" spans="1:8" ht="15.75">
      <c r="A130" s="959"/>
      <c r="B130" s="530"/>
      <c r="C130" s="37" t="s">
        <v>284</v>
      </c>
      <c r="D130" s="543" t="s">
        <v>79</v>
      </c>
      <c r="E130" s="26" t="s">
        <v>22</v>
      </c>
      <c r="F130" s="240">
        <f>56*1.1+0.4</f>
        <v>62.00000000000001</v>
      </c>
      <c r="G130" s="33">
        <f>F130*1.2</f>
        <v>74.4</v>
      </c>
      <c r="H130" s="964" t="s">
        <v>366</v>
      </c>
    </row>
    <row r="131" spans="1:8" ht="31.5">
      <c r="A131" s="959"/>
      <c r="B131" s="530"/>
      <c r="C131" s="37" t="s">
        <v>284</v>
      </c>
      <c r="D131" s="544"/>
      <c r="E131" s="30" t="s">
        <v>30</v>
      </c>
      <c r="F131" s="240">
        <f>201*1.1+0.9</f>
        <v>222.00000000000003</v>
      </c>
      <c r="G131" s="33">
        <f>F131*1.2</f>
        <v>266.40000000000003</v>
      </c>
      <c r="H131" s="977"/>
    </row>
    <row r="132" spans="1:8" ht="47.25">
      <c r="A132" s="959"/>
      <c r="B132" s="530"/>
      <c r="C132" s="37" t="s">
        <v>96</v>
      </c>
      <c r="D132" s="26" t="s">
        <v>367</v>
      </c>
      <c r="E132" s="23"/>
      <c r="F132" s="240">
        <f>11*1.1+0.9</f>
        <v>13.000000000000002</v>
      </c>
      <c r="G132" s="33">
        <f>F132*1.2</f>
        <v>15.600000000000001</v>
      </c>
      <c r="H132" s="87" t="s">
        <v>368</v>
      </c>
    </row>
    <row r="133" spans="1:8" ht="78.75">
      <c r="A133" s="960"/>
      <c r="B133" s="539"/>
      <c r="C133" s="37" t="s">
        <v>369</v>
      </c>
      <c r="D133" s="26" t="s">
        <v>367</v>
      </c>
      <c r="E133" s="23"/>
      <c r="F133" s="240">
        <f>66*1.1+0.4</f>
        <v>73.00000000000001</v>
      </c>
      <c r="G133" s="33">
        <f>F133*1.2</f>
        <v>87.60000000000001</v>
      </c>
      <c r="H133" s="87" t="s">
        <v>363</v>
      </c>
    </row>
    <row r="134" spans="1:8" ht="31.5">
      <c r="A134" s="965">
        <v>12</v>
      </c>
      <c r="B134" s="529" t="s">
        <v>370</v>
      </c>
      <c r="C134" s="543" t="s">
        <v>371</v>
      </c>
      <c r="D134" s="37" t="s">
        <v>372</v>
      </c>
      <c r="E134" s="26" t="s">
        <v>373</v>
      </c>
      <c r="F134" s="244">
        <f>1613*1.1+0.7</f>
        <v>1775.0000000000002</v>
      </c>
      <c r="G134" s="33">
        <f>F134*1.2</f>
        <v>2130</v>
      </c>
      <c r="H134" s="87" t="s">
        <v>374</v>
      </c>
    </row>
    <row r="135" spans="1:8" ht="47.25">
      <c r="A135" s="966"/>
      <c r="B135" s="530"/>
      <c r="C135" s="605"/>
      <c r="D135" s="37" t="s">
        <v>375</v>
      </c>
      <c r="E135" s="26" t="s">
        <v>376</v>
      </c>
      <c r="F135" s="244">
        <f>293*1.1+0.7</f>
        <v>323</v>
      </c>
      <c r="G135" s="33">
        <f>F135*1.2</f>
        <v>387.59999999999997</v>
      </c>
      <c r="H135" s="87" t="s">
        <v>377</v>
      </c>
    </row>
    <row r="136" spans="1:8" ht="15.75">
      <c r="A136" s="966"/>
      <c r="B136" s="530"/>
      <c r="C136" s="605"/>
      <c r="D136" s="540"/>
      <c r="E136" s="540" t="s">
        <v>378</v>
      </c>
      <c r="F136" s="540">
        <f>719*1.1+0.1</f>
        <v>791.0000000000001</v>
      </c>
      <c r="G136" s="851">
        <f>F136*1.2</f>
        <v>949.2</v>
      </c>
      <c r="H136" s="964" t="s">
        <v>379</v>
      </c>
    </row>
    <row r="137" spans="1:8" ht="15.75">
      <c r="A137" s="967"/>
      <c r="B137" s="539"/>
      <c r="C137" s="544"/>
      <c r="D137" s="544"/>
      <c r="E137" s="544"/>
      <c r="F137" s="611"/>
      <c r="G137" s="852"/>
      <c r="H137" s="977"/>
    </row>
    <row r="138" spans="1:8" ht="15.75">
      <c r="A138" s="968">
        <v>13</v>
      </c>
      <c r="B138" s="11" t="s">
        <v>103</v>
      </c>
      <c r="C138" s="971" t="s">
        <v>104</v>
      </c>
      <c r="D138" s="971"/>
      <c r="E138" s="971"/>
      <c r="F138" s="971"/>
      <c r="G138" s="971"/>
      <c r="H138" s="87"/>
    </row>
    <row r="139" spans="1:8" ht="31.5">
      <c r="A139" s="969"/>
      <c r="B139" s="529"/>
      <c r="C139" s="19" t="s">
        <v>104</v>
      </c>
      <c r="D139" s="19" t="s">
        <v>220</v>
      </c>
      <c r="E139" s="26"/>
      <c r="F139" s="240">
        <f>486*1.1+0.4</f>
        <v>535</v>
      </c>
      <c r="G139" s="33">
        <f>F139*1.2</f>
        <v>642</v>
      </c>
      <c r="H139" s="250" t="s">
        <v>380</v>
      </c>
    </row>
    <row r="140" spans="1:8" ht="31.5">
      <c r="A140" s="970"/>
      <c r="B140" s="539"/>
      <c r="C140" s="19" t="s">
        <v>104</v>
      </c>
      <c r="D140" s="19" t="s">
        <v>220</v>
      </c>
      <c r="E140" s="26"/>
      <c r="F140" s="240">
        <f>369*1.1+0.1</f>
        <v>406.00000000000006</v>
      </c>
      <c r="G140" s="33">
        <f>F140*1.2</f>
        <v>487.20000000000005</v>
      </c>
      <c r="H140" s="250" t="s">
        <v>296</v>
      </c>
    </row>
    <row r="141" spans="1:8" ht="15.75">
      <c r="A141" s="968">
        <v>14</v>
      </c>
      <c r="B141" s="16" t="s">
        <v>110</v>
      </c>
      <c r="C141" s="974" t="s">
        <v>111</v>
      </c>
      <c r="D141" s="975"/>
      <c r="E141" s="975"/>
      <c r="F141" s="975"/>
      <c r="G141" s="976"/>
      <c r="H141" s="87"/>
    </row>
    <row r="142" spans="1:8" ht="31.5">
      <c r="A142" s="972"/>
      <c r="B142" s="529"/>
      <c r="C142" s="252" t="s">
        <v>111</v>
      </c>
      <c r="D142" s="19" t="s">
        <v>220</v>
      </c>
      <c r="E142" s="20"/>
      <c r="F142" s="244">
        <f>3086*1.1+0.4</f>
        <v>3395.0000000000005</v>
      </c>
      <c r="G142" s="33">
        <f>F142*1.2</f>
        <v>4074.0000000000005</v>
      </c>
      <c r="H142" s="253" t="s">
        <v>381</v>
      </c>
    </row>
    <row r="143" spans="1:8" ht="15.75">
      <c r="A143" s="972"/>
      <c r="B143" s="530"/>
      <c r="C143" s="557" t="s">
        <v>111</v>
      </c>
      <c r="D143" s="18" t="s">
        <v>21</v>
      </c>
      <c r="E143" s="20" t="s">
        <v>212</v>
      </c>
      <c r="F143" s="240">
        <f>1225*1.1+0.5</f>
        <v>1348</v>
      </c>
      <c r="G143" s="33">
        <f>F143*1.2</f>
        <v>1617.6</v>
      </c>
      <c r="H143" s="964" t="s">
        <v>382</v>
      </c>
    </row>
    <row r="144" spans="1:8" ht="31.5">
      <c r="A144" s="973"/>
      <c r="B144" s="539"/>
      <c r="C144" s="853"/>
      <c r="D144" s="18" t="s">
        <v>21</v>
      </c>
      <c r="E144" s="30" t="s">
        <v>30</v>
      </c>
      <c r="F144" s="240">
        <f>1225*1.1+0.5</f>
        <v>1348</v>
      </c>
      <c r="G144" s="33">
        <f>F144*1.2</f>
        <v>1617.6</v>
      </c>
      <c r="H144" s="977"/>
    </row>
    <row r="145" spans="1:8" ht="31.5">
      <c r="A145" s="249">
        <v>15</v>
      </c>
      <c r="B145" s="17" t="s">
        <v>113</v>
      </c>
      <c r="C145" s="252" t="s">
        <v>383</v>
      </c>
      <c r="D145" s="18" t="s">
        <v>376</v>
      </c>
      <c r="E145" s="20"/>
      <c r="F145" s="247">
        <f>102*1.1+0.8</f>
        <v>113</v>
      </c>
      <c r="G145" s="33">
        <f>F145*1.2</f>
        <v>135.6</v>
      </c>
      <c r="H145" s="254" t="s">
        <v>384</v>
      </c>
    </row>
    <row r="146" spans="1:8" ht="15.75">
      <c r="A146" s="968">
        <v>16</v>
      </c>
      <c r="B146" s="529" t="s">
        <v>120</v>
      </c>
      <c r="C146" s="551" t="s">
        <v>116</v>
      </c>
      <c r="D146" s="552"/>
      <c r="E146" s="552"/>
      <c r="F146" s="552"/>
      <c r="G146" s="553"/>
      <c r="H146" s="87"/>
    </row>
    <row r="147" spans="1:8" ht="31.5">
      <c r="A147" s="970"/>
      <c r="B147" s="539"/>
      <c r="C147" s="44" t="s">
        <v>116</v>
      </c>
      <c r="D147" s="19" t="s">
        <v>21</v>
      </c>
      <c r="E147" s="26"/>
      <c r="F147" s="244">
        <f>1544*1.1+0.6</f>
        <v>1699</v>
      </c>
      <c r="G147" s="33">
        <f>F147*1.2</f>
        <v>2038.8</v>
      </c>
      <c r="H147" s="246" t="s">
        <v>300</v>
      </c>
    </row>
    <row r="148" spans="1:8" ht="15.75">
      <c r="A148" s="978" t="s">
        <v>126</v>
      </c>
      <c r="B148" s="1026"/>
      <c r="C148" s="1026"/>
      <c r="D148" s="1026"/>
      <c r="E148" s="1026"/>
      <c r="F148" s="1026"/>
      <c r="G148" s="1026"/>
      <c r="H148" s="1027"/>
    </row>
    <row r="149" spans="1:8" ht="15.75">
      <c r="A149" s="968">
        <v>17</v>
      </c>
      <c r="B149" s="529" t="s">
        <v>385</v>
      </c>
      <c r="C149" s="543" t="s">
        <v>126</v>
      </c>
      <c r="D149" s="557" t="s">
        <v>21</v>
      </c>
      <c r="E149" s="26" t="s">
        <v>288</v>
      </c>
      <c r="F149" s="244">
        <f>2251*1.1+0.9</f>
        <v>2477.0000000000005</v>
      </c>
      <c r="G149" s="33">
        <f aca="true" t="shared" si="4" ref="G149:G154">F149*1.2</f>
        <v>2972.4000000000005</v>
      </c>
      <c r="H149" s="964" t="s">
        <v>386</v>
      </c>
    </row>
    <row r="150" spans="1:8" ht="15.75">
      <c r="A150" s="969"/>
      <c r="B150" s="530"/>
      <c r="C150" s="605"/>
      <c r="D150" s="853"/>
      <c r="E150" s="26" t="s">
        <v>22</v>
      </c>
      <c r="F150" s="244">
        <f>2758*1.1+0.2</f>
        <v>3034</v>
      </c>
      <c r="G150" s="33">
        <f t="shared" si="4"/>
        <v>3640.7999999999997</v>
      </c>
      <c r="H150" s="979"/>
    </row>
    <row r="151" spans="1:8" ht="15.75">
      <c r="A151" s="969"/>
      <c r="B151" s="530"/>
      <c r="C151" s="605"/>
      <c r="D151" s="853"/>
      <c r="E151" s="26" t="s">
        <v>38</v>
      </c>
      <c r="F151" s="244">
        <f>3269*1.1+0.1</f>
        <v>3596</v>
      </c>
      <c r="G151" s="33">
        <f t="shared" si="4"/>
        <v>4315.2</v>
      </c>
      <c r="H151" s="979"/>
    </row>
    <row r="152" spans="1:8" ht="15.75">
      <c r="A152" s="969"/>
      <c r="B152" s="530"/>
      <c r="C152" s="544"/>
      <c r="D152" s="558"/>
      <c r="E152" s="26" t="s">
        <v>365</v>
      </c>
      <c r="F152" s="244">
        <f>3358*1.1+0.2</f>
        <v>3694</v>
      </c>
      <c r="G152" s="33">
        <f t="shared" si="4"/>
        <v>4432.8</v>
      </c>
      <c r="H152" s="977"/>
    </row>
    <row r="153" spans="1:8" ht="15.75">
      <c r="A153" s="969"/>
      <c r="B153" s="530"/>
      <c r="C153" s="543" t="s">
        <v>126</v>
      </c>
      <c r="D153" s="557" t="s">
        <v>21</v>
      </c>
      <c r="E153" s="26" t="s">
        <v>22</v>
      </c>
      <c r="F153" s="26">
        <f>1136*1.1+0.4</f>
        <v>1250.0000000000002</v>
      </c>
      <c r="G153" s="33">
        <f t="shared" si="4"/>
        <v>1500.0000000000002</v>
      </c>
      <c r="H153" s="964" t="s">
        <v>387</v>
      </c>
    </row>
    <row r="154" spans="1:8" ht="31.5">
      <c r="A154" s="969"/>
      <c r="B154" s="530"/>
      <c r="C154" s="544"/>
      <c r="D154" s="558"/>
      <c r="E154" s="30" t="s">
        <v>30</v>
      </c>
      <c r="F154" s="33">
        <f>2042*1.1+0.8</f>
        <v>2247.0000000000005</v>
      </c>
      <c r="G154" s="33">
        <f t="shared" si="4"/>
        <v>2696.4000000000005</v>
      </c>
      <c r="H154" s="977"/>
    </row>
    <row r="155" spans="1:8" ht="31.5">
      <c r="A155" s="969"/>
      <c r="B155" s="530"/>
      <c r="C155" s="543" t="s">
        <v>126</v>
      </c>
      <c r="D155" s="557" t="s">
        <v>119</v>
      </c>
      <c r="E155" s="540"/>
      <c r="F155" s="240">
        <f>294*1.1+0.6</f>
        <v>324.00000000000006</v>
      </c>
      <c r="G155" s="33">
        <f>F155*1.2</f>
        <v>388.80000000000007</v>
      </c>
      <c r="H155" s="87" t="s">
        <v>704</v>
      </c>
    </row>
    <row r="156" spans="1:8" ht="15.75">
      <c r="A156" s="969"/>
      <c r="B156" s="530"/>
      <c r="C156" s="544"/>
      <c r="D156" s="558"/>
      <c r="E156" s="542"/>
      <c r="F156" s="980" t="s">
        <v>76</v>
      </c>
      <c r="G156" s="981"/>
      <c r="H156" s="87" t="s">
        <v>388</v>
      </c>
    </row>
    <row r="157" spans="1:8" ht="31.5">
      <c r="A157" s="970"/>
      <c r="B157" s="539"/>
      <c r="C157" s="23" t="s">
        <v>126</v>
      </c>
      <c r="D157" s="19" t="s">
        <v>25</v>
      </c>
      <c r="E157" s="26"/>
      <c r="F157" s="240">
        <v>4350</v>
      </c>
      <c r="G157" s="240">
        <v>5220</v>
      </c>
      <c r="H157" s="87" t="s">
        <v>742</v>
      </c>
    </row>
    <row r="158" spans="1:8" ht="15.75">
      <c r="A158" s="248"/>
      <c r="B158" s="16" t="s">
        <v>389</v>
      </c>
      <c r="C158" s="402" t="s">
        <v>134</v>
      </c>
      <c r="D158" s="403"/>
      <c r="E158" s="403"/>
      <c r="F158" s="403"/>
      <c r="G158" s="404"/>
      <c r="H158" s="87"/>
    </row>
    <row r="159" spans="1:8" ht="47.25">
      <c r="A159" s="982">
        <v>18</v>
      </c>
      <c r="B159" s="529"/>
      <c r="C159" s="243" t="s">
        <v>390</v>
      </c>
      <c r="D159" s="19" t="s">
        <v>25</v>
      </c>
      <c r="E159" s="348" t="s">
        <v>391</v>
      </c>
      <c r="F159" s="244">
        <f>12262*1.1+0.8</f>
        <v>13489</v>
      </c>
      <c r="G159" s="33">
        <f>F159*1.2</f>
        <v>16186.8</v>
      </c>
      <c r="H159" s="87" t="s">
        <v>748</v>
      </c>
    </row>
    <row r="160" spans="1:8" ht="31.5">
      <c r="A160" s="982"/>
      <c r="B160" s="530"/>
      <c r="C160" s="242" t="s">
        <v>392</v>
      </c>
      <c r="D160" s="19" t="s">
        <v>21</v>
      </c>
      <c r="E160" s="26" t="s">
        <v>391</v>
      </c>
      <c r="F160" s="244">
        <f>10395*1.1+0.5</f>
        <v>11435.000000000002</v>
      </c>
      <c r="G160" s="33">
        <f>F160*1.2</f>
        <v>13722.000000000002</v>
      </c>
      <c r="H160" s="87" t="s">
        <v>393</v>
      </c>
    </row>
    <row r="161" spans="1:8" ht="31.5">
      <c r="A161" s="982"/>
      <c r="B161" s="539"/>
      <c r="C161" s="242" t="s">
        <v>394</v>
      </c>
      <c r="D161" s="19" t="s">
        <v>21</v>
      </c>
      <c r="E161" s="26" t="s">
        <v>391</v>
      </c>
      <c r="F161" s="244">
        <f>4753*1.1+0.7</f>
        <v>5229</v>
      </c>
      <c r="G161" s="33">
        <f>F161*1.2</f>
        <v>6274.8</v>
      </c>
      <c r="H161" s="87" t="s">
        <v>395</v>
      </c>
    </row>
    <row r="162" spans="1:8" ht="15.75">
      <c r="A162" s="983" t="s">
        <v>136</v>
      </c>
      <c r="B162" s="793"/>
      <c r="C162" s="551" t="s">
        <v>137</v>
      </c>
      <c r="D162" s="552"/>
      <c r="E162" s="552"/>
      <c r="F162" s="552"/>
      <c r="G162" s="552"/>
      <c r="H162" s="984"/>
    </row>
    <row r="163" spans="1:8" ht="15.75">
      <c r="A163" s="985" t="s">
        <v>138</v>
      </c>
      <c r="B163" s="526" t="s">
        <v>308</v>
      </c>
      <c r="C163" s="642" t="s">
        <v>309</v>
      </c>
      <c r="D163" s="543" t="s">
        <v>21</v>
      </c>
      <c r="E163" s="26" t="s">
        <v>22</v>
      </c>
      <c r="F163" s="835" t="s">
        <v>76</v>
      </c>
      <c r="G163" s="836"/>
      <c r="H163" s="224"/>
    </row>
    <row r="164" spans="1:8" ht="31.5">
      <c r="A164" s="985"/>
      <c r="B164" s="526"/>
      <c r="C164" s="642"/>
      <c r="D164" s="544"/>
      <c r="E164" s="30" t="s">
        <v>30</v>
      </c>
      <c r="F164" s="835" t="s">
        <v>76</v>
      </c>
      <c r="G164" s="836"/>
      <c r="H164" s="87"/>
    </row>
    <row r="165" spans="1:8" ht="15.75">
      <c r="A165" s="234" t="s">
        <v>396</v>
      </c>
      <c r="B165" s="16" t="s">
        <v>311</v>
      </c>
      <c r="C165" s="18" t="s">
        <v>312</v>
      </c>
      <c r="D165" s="18" t="s">
        <v>25</v>
      </c>
      <c r="E165" s="26"/>
      <c r="F165" s="835" t="s">
        <v>76</v>
      </c>
      <c r="G165" s="836"/>
      <c r="H165" s="239" t="s">
        <v>397</v>
      </c>
    </row>
    <row r="166" spans="1:8" ht="15.75">
      <c r="A166" s="222" t="s">
        <v>398</v>
      </c>
      <c r="B166" s="16" t="s">
        <v>139</v>
      </c>
      <c r="C166" s="18" t="s">
        <v>313</v>
      </c>
      <c r="D166" s="18" t="s">
        <v>21</v>
      </c>
      <c r="E166" s="24" t="s">
        <v>150</v>
      </c>
      <c r="F166" s="835" t="s">
        <v>76</v>
      </c>
      <c r="G166" s="836"/>
      <c r="H166" s="239" t="s">
        <v>397</v>
      </c>
    </row>
    <row r="167" spans="1:8" ht="15.75">
      <c r="A167" s="968">
        <v>22</v>
      </c>
      <c r="B167" s="529" t="s">
        <v>143</v>
      </c>
      <c r="C167" s="543" t="s">
        <v>144</v>
      </c>
      <c r="D167" s="557" t="s">
        <v>21</v>
      </c>
      <c r="E167" s="26" t="s">
        <v>22</v>
      </c>
      <c r="F167" s="835" t="s">
        <v>76</v>
      </c>
      <c r="G167" s="836"/>
      <c r="H167" s="87"/>
    </row>
    <row r="168" spans="1:8" ht="31.5">
      <c r="A168" s="970"/>
      <c r="B168" s="539"/>
      <c r="C168" s="544"/>
      <c r="D168" s="558"/>
      <c r="E168" s="30" t="s">
        <v>30</v>
      </c>
      <c r="F168" s="835" t="s">
        <v>76</v>
      </c>
      <c r="G168" s="836"/>
      <c r="H168" s="87"/>
    </row>
    <row r="169" spans="1:8" ht="31.5">
      <c r="A169" s="255">
        <v>23</v>
      </c>
      <c r="B169" s="11" t="s">
        <v>145</v>
      </c>
      <c r="C169" s="23" t="s">
        <v>146</v>
      </c>
      <c r="D169" s="19" t="s">
        <v>25</v>
      </c>
      <c r="E169" s="26"/>
      <c r="F169" s="835" t="s">
        <v>76</v>
      </c>
      <c r="G169" s="836"/>
      <c r="H169" s="256"/>
    </row>
    <row r="170" spans="1:8" ht="94.5">
      <c r="A170" s="968">
        <v>24</v>
      </c>
      <c r="B170" s="529" t="s">
        <v>148</v>
      </c>
      <c r="C170" s="543" t="s">
        <v>318</v>
      </c>
      <c r="D170" s="37" t="s">
        <v>21</v>
      </c>
      <c r="E170" s="26" t="s">
        <v>150</v>
      </c>
      <c r="F170" s="835" t="s">
        <v>76</v>
      </c>
      <c r="G170" s="836"/>
      <c r="H170" s="239" t="s">
        <v>743</v>
      </c>
    </row>
    <row r="171" spans="1:8" ht="63">
      <c r="A171" s="970"/>
      <c r="B171" s="539"/>
      <c r="C171" s="544"/>
      <c r="D171" s="23" t="s">
        <v>106</v>
      </c>
      <c r="E171" s="23" t="s">
        <v>744</v>
      </c>
      <c r="F171" s="257">
        <v>212</v>
      </c>
      <c r="G171" s="33">
        <f>F171*1.2</f>
        <v>254.39999999999998</v>
      </c>
      <c r="H171" s="239" t="s">
        <v>235</v>
      </c>
    </row>
    <row r="172" spans="1:8" ht="31.5">
      <c r="A172" s="251">
        <v>25</v>
      </c>
      <c r="B172" s="25" t="s">
        <v>155</v>
      </c>
      <c r="C172" s="21" t="s">
        <v>156</v>
      </c>
      <c r="D172" s="37" t="s">
        <v>119</v>
      </c>
      <c r="E172" s="26"/>
      <c r="F172" s="33">
        <v>2181.91</v>
      </c>
      <c r="G172" s="33">
        <f>F172*1.2</f>
        <v>2618.292</v>
      </c>
      <c r="H172" s="87"/>
    </row>
    <row r="173" spans="1:8" ht="15.75">
      <c r="A173" s="968">
        <v>26</v>
      </c>
      <c r="B173" s="529" t="s">
        <v>399</v>
      </c>
      <c r="C173" s="551" t="s">
        <v>400</v>
      </c>
      <c r="D173" s="552"/>
      <c r="E173" s="552"/>
      <c r="F173" s="552"/>
      <c r="G173" s="553"/>
      <c r="H173" s="87"/>
    </row>
    <row r="174" spans="1:8" ht="31.5">
      <c r="A174" s="970"/>
      <c r="B174" s="539"/>
      <c r="C174" s="23" t="s">
        <v>401</v>
      </c>
      <c r="D174" s="19" t="s">
        <v>119</v>
      </c>
      <c r="E174" s="26"/>
      <c r="F174" s="33">
        <f>6789*1.1+0.1</f>
        <v>7468.000000000001</v>
      </c>
      <c r="G174" s="33">
        <f>F174*1.2</f>
        <v>8961.6</v>
      </c>
      <c r="H174" s="87" t="s">
        <v>402</v>
      </c>
    </row>
    <row r="175" spans="1:8" ht="15.75">
      <c r="A175" s="978"/>
      <c r="B175" s="986"/>
      <c r="C175" s="987" t="s">
        <v>158</v>
      </c>
      <c r="D175" s="988"/>
      <c r="E175" s="988"/>
      <c r="F175" s="988"/>
      <c r="G175" s="988"/>
      <c r="H175" s="989"/>
    </row>
    <row r="176" spans="1:8" ht="15.75">
      <c r="A176" s="968">
        <v>27</v>
      </c>
      <c r="B176" s="529" t="s">
        <v>159</v>
      </c>
      <c r="C176" s="609" t="s">
        <v>160</v>
      </c>
      <c r="D176" s="531" t="s">
        <v>161</v>
      </c>
      <c r="E176" s="26" t="s">
        <v>22</v>
      </c>
      <c r="F176" s="33">
        <f>1577*1.1+0.3</f>
        <v>1735</v>
      </c>
      <c r="G176" s="33">
        <f>F176*1.2</f>
        <v>2082</v>
      </c>
      <c r="H176" s="948" t="s">
        <v>403</v>
      </c>
    </row>
    <row r="177" spans="1:8" ht="15.75">
      <c r="A177" s="970"/>
      <c r="B177" s="539"/>
      <c r="C177" s="611"/>
      <c r="D177" s="533"/>
      <c r="E177" s="26" t="s">
        <v>38</v>
      </c>
      <c r="F177" s="33">
        <v>1735</v>
      </c>
      <c r="G177" s="33">
        <f>F177*1.2</f>
        <v>2082</v>
      </c>
      <c r="H177" s="950"/>
    </row>
    <row r="178" spans="1:8" ht="63.75" thickBot="1">
      <c r="A178" s="258">
        <v>28</v>
      </c>
      <c r="B178" s="88" t="s">
        <v>322</v>
      </c>
      <c r="C178" s="259" t="s">
        <v>164</v>
      </c>
      <c r="D178" s="89" t="s">
        <v>161</v>
      </c>
      <c r="E178" s="1034"/>
      <c r="F178" s="260">
        <f>371*1.1+0.9</f>
        <v>409</v>
      </c>
      <c r="G178" s="261">
        <f>F178*1.2</f>
        <v>490.79999999999995</v>
      </c>
      <c r="H178" s="262" t="s">
        <v>745</v>
      </c>
    </row>
    <row r="179" spans="1:8" s="264" customFormat="1" ht="15.75">
      <c r="A179" s="49" t="s">
        <v>241</v>
      </c>
      <c r="B179" s="145"/>
      <c r="C179" s="145"/>
      <c r="D179" s="263"/>
      <c r="E179" s="263"/>
      <c r="F179" s="263"/>
      <c r="G179" s="78"/>
      <c r="H179" s="77"/>
    </row>
    <row r="180" spans="1:8" s="264" customFormat="1" ht="15.75">
      <c r="A180" s="90"/>
      <c r="B180" s="145"/>
      <c r="C180" s="145"/>
      <c r="D180" s="263"/>
      <c r="E180" s="263"/>
      <c r="F180" s="263"/>
      <c r="G180" s="78"/>
      <c r="H180" s="77"/>
    </row>
    <row r="181" spans="1:8" s="265" customFormat="1" ht="15.75">
      <c r="A181" s="49" t="s">
        <v>167</v>
      </c>
      <c r="B181" s="145"/>
      <c r="C181" s="145"/>
      <c r="D181" s="1031"/>
      <c r="E181" s="186" t="s">
        <v>168</v>
      </c>
      <c r="G181" s="263"/>
      <c r="H181" s="47"/>
    </row>
    <row r="182" spans="1:8" s="265" customFormat="1" ht="15.75">
      <c r="A182" s="184"/>
      <c r="B182" s="145"/>
      <c r="C182" s="145"/>
      <c r="D182" s="1031"/>
      <c r="E182" s="266"/>
      <c r="G182" s="44" t="s">
        <v>122</v>
      </c>
      <c r="H182" s="47"/>
    </row>
    <row r="183" spans="1:8" s="265" customFormat="1" ht="15.75">
      <c r="A183" s="49" t="s">
        <v>169</v>
      </c>
      <c r="B183" s="145"/>
      <c r="C183" s="145"/>
      <c r="D183" s="1031"/>
      <c r="E183" s="186" t="s">
        <v>170</v>
      </c>
      <c r="G183" s="263"/>
      <c r="H183" s="159"/>
    </row>
    <row r="184" spans="1:8" s="265" customFormat="1" ht="15.75">
      <c r="A184" s="184"/>
      <c r="B184" s="145"/>
      <c r="C184" s="145"/>
      <c r="D184" s="1031"/>
      <c r="E184" s="266"/>
      <c r="G184" s="44"/>
      <c r="H184" s="42"/>
    </row>
    <row r="185" spans="1:8" s="265" customFormat="1" ht="15.75">
      <c r="A185" s="49" t="s">
        <v>171</v>
      </c>
      <c r="B185" s="145"/>
      <c r="C185" s="145"/>
      <c r="D185" s="1031"/>
      <c r="E185" s="186" t="s">
        <v>172</v>
      </c>
      <c r="G185" s="263"/>
      <c r="H185" s="42"/>
    </row>
    <row r="186" spans="1:8" s="265" customFormat="1" ht="15.75">
      <c r="A186" s="49"/>
      <c r="B186" s="145"/>
      <c r="C186" s="145"/>
      <c r="D186" s="1031"/>
      <c r="E186" s="186"/>
      <c r="G186" s="263"/>
      <c r="H186" s="42"/>
    </row>
    <row r="187" spans="1:8" s="265" customFormat="1" ht="15.75">
      <c r="A187" s="49" t="s">
        <v>404</v>
      </c>
      <c r="B187" s="145"/>
      <c r="C187" s="145"/>
      <c r="D187" s="1031"/>
      <c r="E187" s="186" t="s">
        <v>405</v>
      </c>
      <c r="G187" s="44"/>
      <c r="H187" s="42"/>
    </row>
    <row r="188" spans="1:8" s="265" customFormat="1" ht="15.75">
      <c r="A188" s="145"/>
      <c r="B188" s="145"/>
      <c r="C188" s="145"/>
      <c r="D188" s="263"/>
      <c r="E188" s="263"/>
      <c r="F188" s="263"/>
      <c r="G188" s="263"/>
      <c r="H188" s="42"/>
    </row>
    <row r="189" spans="1:8" s="265" customFormat="1" ht="15.75">
      <c r="A189" s="267"/>
      <c r="B189" s="267"/>
      <c r="C189" s="267"/>
      <c r="D189" s="263"/>
      <c r="E189" s="263"/>
      <c r="F189" s="267"/>
      <c r="G189" s="267"/>
      <c r="H189" s="267"/>
    </row>
    <row r="190" spans="1:8" s="265" customFormat="1" ht="15.75">
      <c r="A190" s="267"/>
      <c r="B190" s="267"/>
      <c r="C190" s="267"/>
      <c r="D190" s="263"/>
      <c r="E190" s="263"/>
      <c r="F190" s="267"/>
      <c r="G190" s="267"/>
      <c r="H190" s="267"/>
    </row>
    <row r="191" spans="1:8" ht="15.75">
      <c r="A191" s="264"/>
      <c r="B191" s="264"/>
      <c r="C191" s="264"/>
      <c r="D191" s="1032"/>
      <c r="E191" s="1032"/>
      <c r="F191" s="264"/>
      <c r="G191" s="264"/>
      <c r="H191" s="264"/>
    </row>
    <row r="192" spans="1:8" ht="15.75">
      <c r="A192" s="264"/>
      <c r="B192" s="264"/>
      <c r="C192" s="264"/>
      <c r="D192" s="1032"/>
      <c r="E192" s="1032"/>
      <c r="F192" s="264"/>
      <c r="G192" s="264"/>
      <c r="H192" s="264"/>
    </row>
    <row r="193" spans="1:8" ht="15.75">
      <c r="A193" s="264"/>
      <c r="B193" s="264"/>
      <c r="C193" s="264"/>
      <c r="D193" s="1032"/>
      <c r="E193" s="1032"/>
      <c r="F193" s="264"/>
      <c r="G193" s="264"/>
      <c r="H193" s="264"/>
    </row>
    <row r="194" spans="1:8" ht="15.75">
      <c r="A194" s="264"/>
      <c r="B194" s="264"/>
      <c r="C194" s="264"/>
      <c r="D194" s="1032"/>
      <c r="E194" s="1032"/>
      <c r="F194" s="264"/>
      <c r="G194" s="264"/>
      <c r="H194" s="264"/>
    </row>
  </sheetData>
  <sheetProtection/>
  <mergeCells count="189">
    <mergeCell ref="D176:D177"/>
    <mergeCell ref="H176:H177"/>
    <mergeCell ref="C170:C171"/>
    <mergeCell ref="F170:G170"/>
    <mergeCell ref="A173:A174"/>
    <mergeCell ref="B173:B174"/>
    <mergeCell ref="C173:G173"/>
    <mergeCell ref="A175:B175"/>
    <mergeCell ref="C175:H175"/>
    <mergeCell ref="B163:B164"/>
    <mergeCell ref="C163:C164"/>
    <mergeCell ref="D163:D164"/>
    <mergeCell ref="A167:A168"/>
    <mergeCell ref="B167:B168"/>
    <mergeCell ref="C167:C168"/>
    <mergeCell ref="D167:D168"/>
    <mergeCell ref="A149:A157"/>
    <mergeCell ref="B149:B157"/>
    <mergeCell ref="A159:A161"/>
    <mergeCell ref="B159:B161"/>
    <mergeCell ref="A162:B162"/>
    <mergeCell ref="C162:H162"/>
    <mergeCell ref="A176:A177"/>
    <mergeCell ref="B176:B177"/>
    <mergeCell ref="C176:C177"/>
    <mergeCell ref="F168:G168"/>
    <mergeCell ref="F169:G169"/>
    <mergeCell ref="A170:A171"/>
    <mergeCell ref="B170:B171"/>
    <mergeCell ref="F163:G163"/>
    <mergeCell ref="F164:G164"/>
    <mergeCell ref="F165:G165"/>
    <mergeCell ref="F166:G166"/>
    <mergeCell ref="F167:G167"/>
    <mergeCell ref="A163:A164"/>
    <mergeCell ref="C153:C154"/>
    <mergeCell ref="D153:D154"/>
    <mergeCell ref="H153:H154"/>
    <mergeCell ref="C155:C156"/>
    <mergeCell ref="D155:D156"/>
    <mergeCell ref="E155:E156"/>
    <mergeCell ref="F156:G156"/>
    <mergeCell ref="H143:H144"/>
    <mergeCell ref="A146:A147"/>
    <mergeCell ref="B146:B147"/>
    <mergeCell ref="C146:G146"/>
    <mergeCell ref="A148:H148"/>
    <mergeCell ref="C149:C152"/>
    <mergeCell ref="D149:D152"/>
    <mergeCell ref="H149:H152"/>
    <mergeCell ref="A138:A140"/>
    <mergeCell ref="C138:G138"/>
    <mergeCell ref="B139:B140"/>
    <mergeCell ref="A141:A144"/>
    <mergeCell ref="C141:G141"/>
    <mergeCell ref="B142:B144"/>
    <mergeCell ref="C143:C144"/>
    <mergeCell ref="D130:D131"/>
    <mergeCell ref="H130:H131"/>
    <mergeCell ref="A134:A137"/>
    <mergeCell ref="B134:B137"/>
    <mergeCell ref="C134:C137"/>
    <mergeCell ref="D136:D137"/>
    <mergeCell ref="E136:E137"/>
    <mergeCell ref="F136:F137"/>
    <mergeCell ref="G136:G137"/>
    <mergeCell ref="H136:H137"/>
    <mergeCell ref="D124:D126"/>
    <mergeCell ref="E124:E126"/>
    <mergeCell ref="H124:H125"/>
    <mergeCell ref="D127:D129"/>
    <mergeCell ref="E127:E129"/>
    <mergeCell ref="H127:H128"/>
    <mergeCell ref="D116:D117"/>
    <mergeCell ref="H116:H117"/>
    <mergeCell ref="A118:A133"/>
    <mergeCell ref="B118:B133"/>
    <mergeCell ref="C118:G118"/>
    <mergeCell ref="D119:D120"/>
    <mergeCell ref="E119:E120"/>
    <mergeCell ref="D121:D123"/>
    <mergeCell ref="E121:E123"/>
    <mergeCell ref="H121:H122"/>
    <mergeCell ref="A107:B107"/>
    <mergeCell ref="C107:H107"/>
    <mergeCell ref="A108:A117"/>
    <mergeCell ref="C108:G108"/>
    <mergeCell ref="H109:H115"/>
    <mergeCell ref="D111:D112"/>
    <mergeCell ref="E111:E112"/>
    <mergeCell ref="D114:D115"/>
    <mergeCell ref="E114:E115"/>
    <mergeCell ref="C116:C117"/>
    <mergeCell ref="A104:A106"/>
    <mergeCell ref="B104:B106"/>
    <mergeCell ref="C104:C106"/>
    <mergeCell ref="D104:D105"/>
    <mergeCell ref="F104:G104"/>
    <mergeCell ref="F105:G105"/>
    <mergeCell ref="F106:G106"/>
    <mergeCell ref="A94:A103"/>
    <mergeCell ref="B94:B103"/>
    <mergeCell ref="C94:C103"/>
    <mergeCell ref="D94:D96"/>
    <mergeCell ref="E94:E96"/>
    <mergeCell ref="D97:D99"/>
    <mergeCell ref="E97:E99"/>
    <mergeCell ref="D100:D101"/>
    <mergeCell ref="A89:H89"/>
    <mergeCell ref="A90:B90"/>
    <mergeCell ref="C90:H90"/>
    <mergeCell ref="A91:A93"/>
    <mergeCell ref="B91:B93"/>
    <mergeCell ref="C91:C93"/>
    <mergeCell ref="D91:D92"/>
    <mergeCell ref="F91:G91"/>
    <mergeCell ref="F92:G92"/>
    <mergeCell ref="F93:G93"/>
    <mergeCell ref="A80:A88"/>
    <mergeCell ref="B80:B88"/>
    <mergeCell ref="C80:H80"/>
    <mergeCell ref="C81:C83"/>
    <mergeCell ref="D81:D83"/>
    <mergeCell ref="C84:C86"/>
    <mergeCell ref="D84:D86"/>
    <mergeCell ref="C87:C88"/>
    <mergeCell ref="D87:D88"/>
    <mergeCell ref="A77:A79"/>
    <mergeCell ref="B77:B79"/>
    <mergeCell ref="C77:C79"/>
    <mergeCell ref="D77:D78"/>
    <mergeCell ref="F77:G77"/>
    <mergeCell ref="H77:H79"/>
    <mergeCell ref="F78:G78"/>
    <mergeCell ref="F79:G79"/>
    <mergeCell ref="C50:C51"/>
    <mergeCell ref="C52:C53"/>
    <mergeCell ref="C54:C55"/>
    <mergeCell ref="C56:C57"/>
    <mergeCell ref="C58:C59"/>
    <mergeCell ref="D60:E76"/>
    <mergeCell ref="C38:C39"/>
    <mergeCell ref="C40:C41"/>
    <mergeCell ref="C42:C43"/>
    <mergeCell ref="C44:C45"/>
    <mergeCell ref="C46:C47"/>
    <mergeCell ref="C48:C49"/>
    <mergeCell ref="A25:A76"/>
    <mergeCell ref="B25:B76"/>
    <mergeCell ref="C25:H25"/>
    <mergeCell ref="C26:C27"/>
    <mergeCell ref="H26:H76"/>
    <mergeCell ref="C28:C29"/>
    <mergeCell ref="C30:C31"/>
    <mergeCell ref="C32:C33"/>
    <mergeCell ref="C34:C35"/>
    <mergeCell ref="C36:C37"/>
    <mergeCell ref="A22:A24"/>
    <mergeCell ref="B22:B24"/>
    <mergeCell ref="C22:C24"/>
    <mergeCell ref="D22:D23"/>
    <mergeCell ref="F22:G22"/>
    <mergeCell ref="H22:H24"/>
    <mergeCell ref="F23:G23"/>
    <mergeCell ref="F24:G24"/>
    <mergeCell ref="A19:A21"/>
    <mergeCell ref="B19:B21"/>
    <mergeCell ref="C19:C21"/>
    <mergeCell ref="D19:D20"/>
    <mergeCell ref="F19:G19"/>
    <mergeCell ref="H19:H21"/>
    <mergeCell ref="F20:G20"/>
    <mergeCell ref="F21:G21"/>
    <mergeCell ref="A15:B15"/>
    <mergeCell ref="C15:H15"/>
    <mergeCell ref="A16:A18"/>
    <mergeCell ref="B16:B18"/>
    <mergeCell ref="C16:C18"/>
    <mergeCell ref="D16:D17"/>
    <mergeCell ref="F16:G16"/>
    <mergeCell ref="H16:H18"/>
    <mergeCell ref="F17:G17"/>
    <mergeCell ref="F18:G18"/>
    <mergeCell ref="A8:H8"/>
    <mergeCell ref="A9:H9"/>
    <mergeCell ref="A10:H10"/>
    <mergeCell ref="A11:H11"/>
    <mergeCell ref="A12:H12"/>
    <mergeCell ref="A14:H14"/>
  </mergeCells>
  <printOptions/>
  <pageMargins left="0.11811023622047245" right="0.11811023622047245" top="0.15748031496062992" bottom="0.15748031496062992" header="0.31496062992125984" footer="0.31496062992125984"/>
  <pageSetup fitToHeight="4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KorepanovaAP</dc:creator>
  <cp:keywords/>
  <dc:description/>
  <cp:lastModifiedBy>Корепанова Анна Павловна</cp:lastModifiedBy>
  <cp:lastPrinted>2023-01-16T10:45:49Z</cp:lastPrinted>
  <dcterms:created xsi:type="dcterms:W3CDTF">2022-12-26T09:43:04Z</dcterms:created>
  <dcterms:modified xsi:type="dcterms:W3CDTF">2023-04-20T09:45:59Z</dcterms:modified>
  <cp:category/>
  <cp:version/>
  <cp:contentType/>
  <cp:contentStatus/>
</cp:coreProperties>
</file>